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11"/>
  <workbookPr/>
  <mc:AlternateContent xmlns:mc="http://schemas.openxmlformats.org/markup-compatibility/2006">
    <mc:Choice Requires="x15">
      <x15ac:absPath xmlns:x15ac="http://schemas.microsoft.com/office/spreadsheetml/2010/11/ac" url="C:\Users\tiihonj1\Downloads\"/>
    </mc:Choice>
  </mc:AlternateContent>
  <xr:revisionPtr revIDLastSave="1" documentId="13_ncr:1_{EED855CB-57D8-43EC-9FDE-62F7AD93E08B}" xr6:coauthVersionLast="47" xr6:coauthVersionMax="47" xr10:uidLastSave="{A13BE6DC-389D-4462-A676-AA5E5D2D11E9}"/>
  <bookViews>
    <workbookView xWindow="-108" yWindow="-108" windowWidth="23256" windowHeight="12576" tabRatio="697" xr2:uid="{00000000-000D-0000-FFFF-FFFF00000000}"/>
  </bookViews>
  <sheets>
    <sheet name="Laskenta" sheetId="1" r:id="rId1"/>
    <sheet name="Kuvaajat" sheetId="17" r:id="rId2"/>
    <sheet name="Tausta_Ajoneuvot" sheetId="13" r:id="rId3"/>
    <sheet name="Päästökertoimet ja muut" sheetId="3" r:id="rId4"/>
    <sheet name="Tausta_Energia" sheetId="2" r:id="rId5"/>
    <sheet name="Tausta_Työmatkat" sheetId="7" r:id="rId6"/>
    <sheet name="Tausta_Hankinnat" sheetId="4" r:id="rId7"/>
    <sheet name="Tausta_Tapahtumat" sheetId="14" r:id="rId8"/>
    <sheet name="Tausta_Liikematkat" sheetId="9" r:id="rId9"/>
    <sheet name="Jätteet_Lajiteltu" sheetId="10" r:id="rId10"/>
    <sheet name="Jätteet_Poltto" sheetId="12" r:id="rId11"/>
    <sheet name="Tausta_Jätteet" sheetId="8" r:id="rId12"/>
    <sheet name="Listat" sheetId="5" r:id="rId13"/>
  </sheets>
  <externalReferences>
    <externalReference r:id="rId14"/>
  </externalReferences>
  <definedNames>
    <definedName name="_56F9DC9755BA473782653E2940F9FormId">"gfolr8wWmUKBU8ztIfHxg-eP78mfQGxBvDaS7Dv5iM5UODBZTTRIRVdPVVc1TUE1SjdHOVNZUEM4TCQlQCN0PWcu"</definedName>
    <definedName name="_56F9DC9755BA473782653E2940F9ResponseSheet">"Form1"</definedName>
    <definedName name="_56F9DC9755BA473782653E2940F9SourceDocId">"{a2e53dce-d39d-4808-a16e-543f4cc4c87a}"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8" i="1" l="1"/>
  <c r="B85" i="9"/>
  <c r="B84" i="9"/>
  <c r="B82" i="9"/>
  <c r="B81" i="9"/>
  <c r="B80" i="9"/>
  <c r="B79" i="9"/>
  <c r="B78" i="9"/>
  <c r="C20" i="14" l="1"/>
  <c r="C19" i="14"/>
  <c r="E63" i="1" l="1"/>
  <c r="D63" i="1"/>
  <c r="E224" i="1"/>
  <c r="E223" i="1"/>
  <c r="E222" i="1"/>
  <c r="E221" i="1"/>
  <c r="E220" i="1"/>
  <c r="E219" i="1"/>
  <c r="C224" i="1"/>
  <c r="C223" i="1"/>
  <c r="C222" i="1"/>
  <c r="C221" i="1"/>
  <c r="C220" i="1"/>
  <c r="C219" i="1"/>
  <c r="C218" i="1"/>
  <c r="E218" i="1"/>
  <c r="C97" i="1"/>
  <c r="A13" i="4"/>
  <c r="B13" i="4"/>
  <c r="D13" i="4"/>
  <c r="E13" i="4"/>
  <c r="C61" i="1"/>
  <c r="B8" i="14" l="1"/>
  <c r="B7" i="14"/>
  <c r="B6" i="14"/>
  <c r="C6" i="14"/>
  <c r="C7" i="14"/>
  <c r="C8" i="14"/>
  <c r="A6" i="14"/>
  <c r="A7" i="14"/>
  <c r="A8" i="14"/>
  <c r="A27" i="14" l="1"/>
  <c r="C50" i="1"/>
  <c r="B51" i="4"/>
  <c r="B5" i="4" s="1"/>
  <c r="B50" i="4"/>
  <c r="B49" i="4"/>
  <c r="B48" i="4"/>
  <c r="B47" i="4"/>
  <c r="B46" i="4"/>
  <c r="B45" i="4"/>
  <c r="B44" i="4"/>
  <c r="B43" i="4"/>
  <c r="B42" i="4"/>
  <c r="B41" i="4"/>
  <c r="B40" i="4"/>
  <c r="B80" i="14" l="1"/>
  <c r="B82" i="14"/>
  <c r="B9" i="14"/>
  <c r="B11" i="14"/>
  <c r="B81" i="14"/>
  <c r="F88" i="14" s="1"/>
  <c r="B4" i="14"/>
  <c r="F4" i="14" s="1"/>
  <c r="H88" i="14"/>
  <c r="B10" i="14"/>
  <c r="D57" i="14" s="1"/>
  <c r="A81" i="14"/>
  <c r="C81" i="14"/>
  <c r="A82" i="14"/>
  <c r="C82" i="14"/>
  <c r="A83" i="14"/>
  <c r="B83" i="14"/>
  <c r="C83" i="14"/>
  <c r="A84" i="14"/>
  <c r="B84" i="14"/>
  <c r="E88" i="14" s="1"/>
  <c r="C84" i="14"/>
  <c r="A85" i="14"/>
  <c r="B85" i="14"/>
  <c r="G88" i="14" s="1"/>
  <c r="C85" i="14"/>
  <c r="C80" i="14"/>
  <c r="A80" i="14"/>
  <c r="A88" i="14" l="1"/>
  <c r="J88" i="14" s="1"/>
  <c r="H92" i="14" s="1"/>
  <c r="B6" i="8"/>
  <c r="C88" i="14"/>
  <c r="D88" i="14"/>
  <c r="B69" i="14"/>
  <c r="A70" i="14"/>
  <c r="B70" i="14"/>
  <c r="A71" i="14"/>
  <c r="B71" i="14"/>
  <c r="A72" i="14"/>
  <c r="B72" i="14"/>
  <c r="A73" i="14"/>
  <c r="B73" i="14"/>
  <c r="A74" i="14"/>
  <c r="B74" i="14"/>
  <c r="A69" i="14"/>
  <c r="E54" i="9"/>
  <c r="E53" i="9" s="1"/>
  <c r="B54" i="4"/>
  <c r="B55" i="4"/>
  <c r="B56" i="4"/>
  <c r="B53" i="4"/>
  <c r="K88" i="14" l="1"/>
  <c r="I92" i="14" s="1"/>
  <c r="I93" i="14" s="1"/>
  <c r="I98" i="14" s="1"/>
  <c r="I88" i="14"/>
  <c r="D200" i="1"/>
  <c r="D20" i="1" s="1"/>
  <c r="B4" i="4"/>
  <c r="D203" i="1" s="1"/>
  <c r="D21" i="1" s="1"/>
  <c r="C66" i="1" l="1"/>
  <c r="A53" i="4" s="1"/>
  <c r="C67" i="1"/>
  <c r="A54" i="4" s="1"/>
  <c r="C68" i="1"/>
  <c r="A55" i="4" s="1"/>
  <c r="C69" i="1"/>
  <c r="A56" i="4" s="1"/>
  <c r="A52" i="4"/>
  <c r="A40" i="4"/>
  <c r="C60" i="1"/>
  <c r="A50" i="4" s="1"/>
  <c r="C51" i="1"/>
  <c r="A41" i="4" s="1"/>
  <c r="C52" i="1"/>
  <c r="A42" i="4" s="1"/>
  <c r="C53" i="1"/>
  <c r="A43" i="4" s="1"/>
  <c r="C54" i="1"/>
  <c r="A44" i="4" s="1"/>
  <c r="C55" i="1"/>
  <c r="A45" i="4" s="1"/>
  <c r="C56" i="1"/>
  <c r="A46" i="4" s="1"/>
  <c r="C57" i="1"/>
  <c r="A47" i="4" s="1"/>
  <c r="C58" i="1"/>
  <c r="A48" i="4" s="1"/>
  <c r="C59" i="1"/>
  <c r="A49" i="4" s="1"/>
  <c r="C99" i="1"/>
  <c r="A39" i="4" s="1"/>
  <c r="C98" i="1"/>
  <c r="A38" i="4" s="1"/>
  <c r="A37" i="4"/>
  <c r="C228" i="1" l="1"/>
  <c r="B12" i="14" l="1"/>
  <c r="C57" i="14" s="1"/>
  <c r="C12" i="14"/>
  <c r="B38" i="4" l="1"/>
  <c r="B39" i="4"/>
  <c r="B63" i="14" l="1"/>
  <c r="B64" i="14" s="1"/>
  <c r="B15" i="14"/>
  <c r="F57" i="14"/>
  <c r="B37" i="4"/>
  <c r="G56" i="9"/>
  <c r="C41" i="9"/>
  <c r="C231" i="1"/>
  <c r="C230" i="1"/>
  <c r="B2" i="4" l="1"/>
  <c r="D194" i="1" s="1"/>
  <c r="D23" i="1" s="1"/>
  <c r="C234" i="1"/>
  <c r="C233" i="1"/>
  <c r="C232" i="1"/>
  <c r="C229" i="1"/>
  <c r="D18" i="2" l="1"/>
  <c r="E18" i="2"/>
  <c r="F18" i="2"/>
  <c r="D17" i="2"/>
  <c r="E17" i="2"/>
  <c r="F17" i="2"/>
  <c r="C18" i="2"/>
  <c r="C17" i="2"/>
  <c r="B18" i="2"/>
  <c r="B17" i="2"/>
  <c r="C43" i="14"/>
  <c r="B43" i="14"/>
  <c r="A43" i="14"/>
  <c r="C42" i="14"/>
  <c r="B42" i="14"/>
  <c r="A42" i="14"/>
  <c r="D32" i="7"/>
  <c r="D31" i="7"/>
  <c r="C32" i="7"/>
  <c r="C31" i="7"/>
  <c r="B32" i="7"/>
  <c r="B31" i="7"/>
  <c r="D28" i="9"/>
  <c r="C28" i="9"/>
  <c r="B28" i="9"/>
  <c r="D27" i="9"/>
  <c r="C27" i="9"/>
  <c r="B27" i="9"/>
  <c r="H96" i="14" l="1"/>
  <c r="H97" i="14" s="1"/>
  <c r="I30" i="7"/>
  <c r="I31" i="7" s="1"/>
  <c r="C12" i="8"/>
  <c r="C46" i="9"/>
  <c r="E35" i="7"/>
  <c r="L35" i="7"/>
  <c r="J35" i="7"/>
  <c r="H35" i="7"/>
  <c r="F35" i="7"/>
  <c r="C33" i="2"/>
  <c r="D10" i="2"/>
  <c r="E10" i="2"/>
  <c r="F10" i="2"/>
  <c r="B10" i="2"/>
  <c r="D6" i="2"/>
  <c r="E6" i="2"/>
  <c r="F6" i="2"/>
  <c r="B6" i="2"/>
  <c r="C3" i="3"/>
  <c r="C8" i="3" s="1"/>
  <c r="C6" i="2" s="1"/>
  <c r="D26" i="9"/>
  <c r="C26" i="9"/>
  <c r="H19" i="9" s="1"/>
  <c r="B26" i="9"/>
  <c r="D20" i="9"/>
  <c r="D21" i="9"/>
  <c r="D22" i="9"/>
  <c r="D23" i="9"/>
  <c r="D24" i="9"/>
  <c r="D25" i="9"/>
  <c r="D19" i="9"/>
  <c r="B20" i="9"/>
  <c r="C20" i="9"/>
  <c r="J19" i="9" s="1"/>
  <c r="B21" i="9"/>
  <c r="C21" i="9"/>
  <c r="K19" i="9" s="1"/>
  <c r="B22" i="9"/>
  <c r="C22" i="9"/>
  <c r="B23" i="9"/>
  <c r="C23" i="9"/>
  <c r="M19" i="9" s="1"/>
  <c r="B24" i="9"/>
  <c r="C24" i="9"/>
  <c r="I19" i="9" s="1"/>
  <c r="B25" i="9"/>
  <c r="C25" i="9"/>
  <c r="L19" i="9" s="1"/>
  <c r="C19" i="9"/>
  <c r="G19" i="9" s="1"/>
  <c r="B19" i="9"/>
  <c r="N19" i="9" l="1"/>
  <c r="B52" i="4"/>
  <c r="B60" i="14"/>
  <c r="B61" i="14" s="1"/>
  <c r="F7" i="14" s="1"/>
  <c r="C12" i="3"/>
  <c r="C10" i="2" s="1"/>
  <c r="B3" i="4" l="1"/>
  <c r="D197" i="1" s="1"/>
  <c r="D19" i="1" s="1"/>
  <c r="F220" i="1"/>
  <c r="H220" i="1" s="1"/>
  <c r="F221" i="1"/>
  <c r="H221" i="1" s="1"/>
  <c r="F222" i="1"/>
  <c r="H222" i="1" s="1"/>
  <c r="F223" i="1"/>
  <c r="H223" i="1" s="1"/>
  <c r="F224" i="1"/>
  <c r="H224" i="1" s="1"/>
  <c r="F218" i="1"/>
  <c r="H218" i="1" s="1"/>
  <c r="F219" i="1"/>
  <c r="H219" i="1" s="1"/>
  <c r="D219" i="1"/>
  <c r="G219" i="1" s="1"/>
  <c r="D220" i="1"/>
  <c r="G220" i="1" s="1"/>
  <c r="D221" i="1"/>
  <c r="G221" i="1" s="1"/>
  <c r="D222" i="1"/>
  <c r="G222" i="1" s="1"/>
  <c r="D223" i="1"/>
  <c r="G223" i="1" s="1"/>
  <c r="D224" i="1"/>
  <c r="G224" i="1" s="1"/>
  <c r="D218" i="1"/>
  <c r="D38" i="2" l="1"/>
  <c r="C38" i="2"/>
  <c r="D8" i="13" l="1"/>
  <c r="H57" i="14" l="1"/>
  <c r="B53" i="14"/>
  <c r="B40" i="14"/>
  <c r="B39" i="14"/>
  <c r="B38" i="14"/>
  <c r="B36" i="14"/>
  <c r="G96" i="14" s="1"/>
  <c r="B35" i="14"/>
  <c r="G92" i="14" s="1"/>
  <c r="D18" i="9"/>
  <c r="C18" i="9"/>
  <c r="B18" i="9"/>
  <c r="I58" i="9"/>
  <c r="I53" i="9" s="1"/>
  <c r="C88" i="3"/>
  <c r="C14" i="14"/>
  <c r="B14" i="14"/>
  <c r="G57" i="14" s="1"/>
  <c r="A14" i="14"/>
  <c r="G93" i="14" l="1"/>
  <c r="G97" i="14"/>
  <c r="J97" i="14" s="1"/>
  <c r="J96" i="14"/>
  <c r="C17" i="9"/>
  <c r="C9" i="14"/>
  <c r="C11" i="14"/>
  <c r="C13" i="14"/>
  <c r="C5" i="14"/>
  <c r="A57" i="14"/>
  <c r="B13" i="14"/>
  <c r="E57" i="14" s="1"/>
  <c r="B5" i="14"/>
  <c r="B31" i="14" s="1"/>
  <c r="A9" i="14"/>
  <c r="A11" i="14"/>
  <c r="A13" i="14"/>
  <c r="A5" i="14"/>
  <c r="B30" i="14" l="1"/>
  <c r="G98" i="14"/>
  <c r="J57" i="14"/>
  <c r="H51" i="14" s="1"/>
  <c r="D46" i="9"/>
  <c r="E46" i="9" s="1"/>
  <c r="L7" i="9" s="1"/>
  <c r="I57" i="14"/>
  <c r="K57" i="14"/>
  <c r="B32" i="14" l="1"/>
  <c r="I47" i="14"/>
  <c r="I48" i="14" s="1"/>
  <c r="I53" i="14" s="1"/>
  <c r="G51" i="14"/>
  <c r="G47" i="14"/>
  <c r="H52" i="14"/>
  <c r="L8" i="9"/>
  <c r="F5" i="14" l="1"/>
  <c r="G48" i="14"/>
  <c r="J51" i="14"/>
  <c r="G52" i="14"/>
  <c r="J52" i="14" s="1"/>
  <c r="G53" i="14" l="1"/>
  <c r="C14" i="13"/>
  <c r="D14" i="13"/>
  <c r="E14" i="13"/>
  <c r="F14" i="13"/>
  <c r="B14" i="13"/>
  <c r="C13" i="13"/>
  <c r="D19" i="13" s="1"/>
  <c r="D13" i="13"/>
  <c r="E13" i="13"/>
  <c r="F13" i="13"/>
  <c r="B13" i="13"/>
  <c r="C9" i="13"/>
  <c r="D9" i="13"/>
  <c r="E9" i="13"/>
  <c r="F9" i="13"/>
  <c r="C10" i="13"/>
  <c r="D10" i="13"/>
  <c r="E10" i="13"/>
  <c r="F10" i="13"/>
  <c r="C11" i="13"/>
  <c r="D11" i="13"/>
  <c r="E11" i="13"/>
  <c r="F11" i="13"/>
  <c r="C12" i="13"/>
  <c r="D12" i="13"/>
  <c r="E12" i="13"/>
  <c r="F12" i="13"/>
  <c r="B10" i="13"/>
  <c r="B11" i="13"/>
  <c r="B12" i="13"/>
  <c r="B9" i="13"/>
  <c r="C8" i="13"/>
  <c r="C18" i="13" s="1"/>
  <c r="E8" i="13"/>
  <c r="F8" i="13"/>
  <c r="B8" i="13"/>
  <c r="C7" i="13"/>
  <c r="C27" i="13" s="1"/>
  <c r="D7" i="13"/>
  <c r="E7" i="13"/>
  <c r="F7" i="13"/>
  <c r="B7" i="13"/>
  <c r="C3" i="13"/>
  <c r="D3" i="13"/>
  <c r="E3" i="13"/>
  <c r="F3" i="13"/>
  <c r="C4" i="13"/>
  <c r="D4" i="13"/>
  <c r="E4" i="13"/>
  <c r="F4" i="13"/>
  <c r="C5" i="13"/>
  <c r="D5" i="13"/>
  <c r="E5" i="13"/>
  <c r="F5" i="13"/>
  <c r="C6" i="13"/>
  <c r="D6" i="13"/>
  <c r="E6" i="13"/>
  <c r="F6" i="13"/>
  <c r="B4" i="13"/>
  <c r="B5" i="13"/>
  <c r="B6" i="13"/>
  <c r="B3" i="13"/>
  <c r="F2" i="13"/>
  <c r="C2" i="13"/>
  <c r="C17" i="13" s="1"/>
  <c r="D2" i="13"/>
  <c r="E2" i="13"/>
  <c r="B2" i="13"/>
  <c r="D15" i="9"/>
  <c r="C15" i="9"/>
  <c r="C31" i="9" s="1"/>
  <c r="C83" i="9" s="1"/>
  <c r="B15" i="9"/>
  <c r="C30" i="7"/>
  <c r="C29" i="7"/>
  <c r="C28" i="7"/>
  <c r="I26" i="7" s="1"/>
  <c r="C26" i="7"/>
  <c r="G30" i="7" s="1"/>
  <c r="G31" i="7" s="1"/>
  <c r="C25" i="7"/>
  <c r="G26" i="7" s="1"/>
  <c r="D17" i="13" l="1"/>
  <c r="D18" i="13"/>
  <c r="D177" i="1"/>
  <c r="D27" i="1" s="1"/>
  <c r="C28" i="13"/>
  <c r="C25" i="13"/>
  <c r="C26" i="13"/>
  <c r="C19" i="2" l="1"/>
  <c r="D19" i="2"/>
  <c r="E19" i="2"/>
  <c r="F19" i="2"/>
  <c r="C20" i="2"/>
  <c r="D20" i="2"/>
  <c r="E20" i="2"/>
  <c r="F20" i="2"/>
  <c r="B20" i="2"/>
  <c r="B19" i="2"/>
  <c r="B14" i="2"/>
  <c r="C14" i="2"/>
  <c r="D14" i="2"/>
  <c r="E14" i="2"/>
  <c r="F14" i="2"/>
  <c r="B15" i="2"/>
  <c r="C15" i="2"/>
  <c r="C54" i="2" s="1"/>
  <c r="D15" i="2"/>
  <c r="E15" i="2"/>
  <c r="F15" i="2"/>
  <c r="B16" i="2"/>
  <c r="C16" i="2"/>
  <c r="C51" i="2" s="1"/>
  <c r="D16" i="2"/>
  <c r="E16" i="2"/>
  <c r="F16" i="2"/>
  <c r="B7" i="2"/>
  <c r="C7" i="2"/>
  <c r="D7" i="2"/>
  <c r="E7" i="2"/>
  <c r="F7" i="2"/>
  <c r="B8" i="2"/>
  <c r="C8" i="2"/>
  <c r="D8" i="2"/>
  <c r="E8" i="2"/>
  <c r="F8" i="2"/>
  <c r="B9" i="2"/>
  <c r="C9" i="2"/>
  <c r="D9" i="2"/>
  <c r="E9" i="2"/>
  <c r="F9" i="2"/>
  <c r="B11" i="2"/>
  <c r="C11" i="2"/>
  <c r="D11" i="2"/>
  <c r="E11" i="2"/>
  <c r="F11" i="2"/>
  <c r="B12" i="2"/>
  <c r="C12" i="2"/>
  <c r="D12" i="2"/>
  <c r="E12" i="2"/>
  <c r="F12" i="2"/>
  <c r="B13" i="2"/>
  <c r="C13" i="2"/>
  <c r="D13" i="2"/>
  <c r="E13" i="2"/>
  <c r="F13" i="2"/>
  <c r="B3" i="2"/>
  <c r="C3" i="2"/>
  <c r="C42" i="2" s="1"/>
  <c r="D3" i="2"/>
  <c r="E3" i="2"/>
  <c r="F3" i="2"/>
  <c r="B4" i="2"/>
  <c r="C4" i="2"/>
  <c r="C48" i="2" s="1"/>
  <c r="D4" i="2"/>
  <c r="E4" i="2"/>
  <c r="F4" i="2"/>
  <c r="B5" i="2"/>
  <c r="C5" i="2"/>
  <c r="D5" i="2"/>
  <c r="E5" i="2"/>
  <c r="F5" i="2"/>
  <c r="D2" i="2"/>
  <c r="E2" i="2"/>
  <c r="F2" i="2"/>
  <c r="C2" i="2"/>
  <c r="C44" i="2" s="1"/>
  <c r="B2" i="2"/>
  <c r="C55" i="2" l="1"/>
  <c r="C52" i="2"/>
  <c r="C53" i="2"/>
  <c r="C49" i="2"/>
  <c r="C50" i="2"/>
  <c r="C43" i="2"/>
  <c r="C57" i="3"/>
  <c r="H225" i="1" l="1"/>
  <c r="D172" i="1" s="1"/>
  <c r="G218" i="1"/>
  <c r="G225" i="1" s="1"/>
  <c r="D173" i="1" s="1"/>
  <c r="I29" i="12"/>
  <c r="H29" i="12"/>
  <c r="G29" i="12"/>
  <c r="F29" i="12"/>
  <c r="E29" i="12"/>
  <c r="D29" i="12"/>
  <c r="C29" i="12"/>
  <c r="F22" i="12"/>
  <c r="F38" i="12" s="1"/>
  <c r="I22" i="12"/>
  <c r="H22" i="12"/>
  <c r="G22" i="12"/>
  <c r="E22" i="12"/>
  <c r="C22" i="12"/>
  <c r="C12" i="12"/>
  <c r="F27" i="12" s="1"/>
  <c r="C11" i="12"/>
  <c r="E26" i="12" s="1"/>
  <c r="C10" i="12"/>
  <c r="C43" i="12" s="1"/>
  <c r="C9" i="12"/>
  <c r="C42" i="12" s="1"/>
  <c r="C8" i="12"/>
  <c r="C51" i="12" s="1"/>
  <c r="C7" i="12"/>
  <c r="I51" i="12" s="1"/>
  <c r="C6" i="12"/>
  <c r="H51" i="12" s="1"/>
  <c r="C5" i="12"/>
  <c r="H43" i="12" s="1"/>
  <c r="C4" i="12"/>
  <c r="F51" i="12" s="1"/>
  <c r="C3" i="12"/>
  <c r="E51" i="12" s="1"/>
  <c r="C2" i="12"/>
  <c r="D51" i="12" s="1"/>
  <c r="C12" i="10"/>
  <c r="I27" i="10" s="1"/>
  <c r="C11" i="10"/>
  <c r="C26" i="10" s="1"/>
  <c r="C9" i="10"/>
  <c r="C42" i="10" s="1"/>
  <c r="C10" i="10"/>
  <c r="C43" i="10" s="1"/>
  <c r="C8" i="10"/>
  <c r="C51" i="10" s="1"/>
  <c r="C7" i="10"/>
  <c r="I51" i="10" s="1"/>
  <c r="C6" i="10"/>
  <c r="H51" i="10" s="1"/>
  <c r="C5" i="10"/>
  <c r="H43" i="10" s="1"/>
  <c r="C4" i="10"/>
  <c r="F51" i="10" s="1"/>
  <c r="C3" i="10"/>
  <c r="E51" i="10" s="1"/>
  <c r="C2" i="10"/>
  <c r="D51" i="10" s="1"/>
  <c r="B13" i="8"/>
  <c r="D21" i="12"/>
  <c r="D22" i="12" s="1"/>
  <c r="D24" i="12" s="1"/>
  <c r="C29" i="10"/>
  <c r="D29" i="10"/>
  <c r="E29" i="10"/>
  <c r="F29" i="10"/>
  <c r="G29" i="10"/>
  <c r="H29" i="10"/>
  <c r="I29" i="10"/>
  <c r="D34" i="2"/>
  <c r="D35" i="2"/>
  <c r="D36" i="2"/>
  <c r="D37" i="2"/>
  <c r="D33" i="2"/>
  <c r="C34" i="2"/>
  <c r="C35" i="2"/>
  <c r="C36" i="2"/>
  <c r="C37" i="2"/>
  <c r="C42" i="9"/>
  <c r="F55" i="9"/>
  <c r="F53" i="9" s="1"/>
  <c r="C16" i="9"/>
  <c r="D42" i="9" s="1"/>
  <c r="C14" i="9"/>
  <c r="D41" i="9" s="1"/>
  <c r="C12" i="9"/>
  <c r="I11" i="9" s="1"/>
  <c r="C11" i="9"/>
  <c r="H7" i="9" s="1"/>
  <c r="C10" i="9"/>
  <c r="C9" i="9"/>
  <c r="C7" i="9"/>
  <c r="C6" i="9"/>
  <c r="L13" i="9"/>
  <c r="C85" i="9" s="1"/>
  <c r="E41" i="9"/>
  <c r="E42" i="9"/>
  <c r="C53" i="9"/>
  <c r="D53" i="9"/>
  <c r="H53" i="9"/>
  <c r="J53" i="9"/>
  <c r="K51" i="9"/>
  <c r="L51" i="9"/>
  <c r="C45" i="3"/>
  <c r="B37" i="14" s="1"/>
  <c r="B41" i="14" s="1"/>
  <c r="C12" i="7"/>
  <c r="G35" i="7"/>
  <c r="V35" i="7" s="1"/>
  <c r="I35" i="7"/>
  <c r="K35" i="7"/>
  <c r="X35" i="7"/>
  <c r="M35" i="7"/>
  <c r="Y35" i="7" s="1"/>
  <c r="N35" i="7"/>
  <c r="O35" i="7"/>
  <c r="Z35" i="7" s="1"/>
  <c r="L26" i="7" s="1"/>
  <c r="L27" i="7" s="1"/>
  <c r="L32" i="7" s="1"/>
  <c r="P35" i="7"/>
  <c r="Q35" i="7"/>
  <c r="R35" i="7"/>
  <c r="AA35" i="7" s="1"/>
  <c r="M26" i="7" s="1"/>
  <c r="M27" i="7" s="1"/>
  <c r="M32" i="7" s="1"/>
  <c r="S35" i="7"/>
  <c r="T35" i="7"/>
  <c r="U35" i="7"/>
  <c r="W35" i="7"/>
  <c r="H47" i="14" l="1"/>
  <c r="J47" i="14" s="1"/>
  <c r="D24" i="1"/>
  <c r="F42" i="9"/>
  <c r="C79" i="9" s="1"/>
  <c r="G53" i="9"/>
  <c r="K7" i="9" s="1"/>
  <c r="K11" i="9"/>
  <c r="F41" i="9"/>
  <c r="C78" i="9" s="1"/>
  <c r="I12" i="9"/>
  <c r="I7" i="9"/>
  <c r="I8" i="9" s="1"/>
  <c r="C8" i="9"/>
  <c r="J11" i="9" s="1"/>
  <c r="J12" i="9" s="1"/>
  <c r="C27" i="7"/>
  <c r="I43" i="12"/>
  <c r="D26" i="12"/>
  <c r="F26" i="12"/>
  <c r="F32" i="12" s="1"/>
  <c r="F33" i="12" s="1"/>
  <c r="F34" i="12" s="1"/>
  <c r="F36" i="12" s="1"/>
  <c r="E27" i="12"/>
  <c r="E32" i="12" s="1"/>
  <c r="E33" i="12" s="1"/>
  <c r="E34" i="12" s="1"/>
  <c r="G27" i="12"/>
  <c r="I27" i="12"/>
  <c r="F42" i="12"/>
  <c r="H42" i="12"/>
  <c r="G43" i="12"/>
  <c r="H26" i="12"/>
  <c r="G51" i="12"/>
  <c r="G52" i="12" s="1"/>
  <c r="G53" i="12" s="1"/>
  <c r="G27" i="7"/>
  <c r="G32" i="7" s="1"/>
  <c r="J26" i="7"/>
  <c r="J27" i="7" s="1"/>
  <c r="J32" i="7" s="1"/>
  <c r="I27" i="7"/>
  <c r="I32" i="7" s="1"/>
  <c r="K26" i="7"/>
  <c r="K27" i="7" s="1"/>
  <c r="K32" i="7" s="1"/>
  <c r="C18" i="8"/>
  <c r="C21" i="10"/>
  <c r="C22" i="10" s="1"/>
  <c r="C24" i="10" s="1"/>
  <c r="C17" i="8"/>
  <c r="G21" i="10" s="1"/>
  <c r="G22" i="10" s="1"/>
  <c r="G24" i="10" s="1"/>
  <c r="D52" i="12"/>
  <c r="D53" i="12" s="1"/>
  <c r="C16" i="8"/>
  <c r="H21" i="10" s="1"/>
  <c r="H22" i="10" s="1"/>
  <c r="H38" i="10" s="1"/>
  <c r="C15" i="8"/>
  <c r="C11" i="8"/>
  <c r="D21" i="10" s="1"/>
  <c r="D22" i="10" s="1"/>
  <c r="D38" i="10" s="1"/>
  <c r="C20" i="8"/>
  <c r="C19" i="8"/>
  <c r="I52" i="12"/>
  <c r="I53" i="12" s="1"/>
  <c r="F52" i="12"/>
  <c r="F53" i="12" s="1"/>
  <c r="C52" i="12"/>
  <c r="C53" i="12" s="1"/>
  <c r="G24" i="12"/>
  <c r="G38" i="12"/>
  <c r="I24" i="12"/>
  <c r="I38" i="12"/>
  <c r="H24" i="12"/>
  <c r="H38" i="12"/>
  <c r="C24" i="12"/>
  <c r="C38" i="12"/>
  <c r="H52" i="12"/>
  <c r="H53" i="12" s="1"/>
  <c r="E38" i="12"/>
  <c r="E24" i="12"/>
  <c r="E52" i="12"/>
  <c r="E53" i="12" s="1"/>
  <c r="F24" i="12"/>
  <c r="G26" i="12"/>
  <c r="H27" i="12"/>
  <c r="I42" i="12"/>
  <c r="I26" i="12"/>
  <c r="D43" i="12"/>
  <c r="C27" i="12"/>
  <c r="D42" i="12"/>
  <c r="E43" i="12"/>
  <c r="C26" i="12"/>
  <c r="D27" i="12"/>
  <c r="D38" i="12"/>
  <c r="E42" i="12"/>
  <c r="F43" i="12"/>
  <c r="G42" i="12"/>
  <c r="G27" i="10"/>
  <c r="H27" i="10"/>
  <c r="F27" i="10"/>
  <c r="D27" i="10"/>
  <c r="C27" i="10"/>
  <c r="C32" i="10" s="1"/>
  <c r="C33" i="10" s="1"/>
  <c r="C34" i="10" s="1"/>
  <c r="E27" i="10"/>
  <c r="E26" i="10"/>
  <c r="I26" i="10"/>
  <c r="I32" i="10" s="1"/>
  <c r="I33" i="10" s="1"/>
  <c r="I34" i="10" s="1"/>
  <c r="H26" i="10"/>
  <c r="G26" i="10"/>
  <c r="F26" i="10"/>
  <c r="D26" i="10"/>
  <c r="G43" i="10"/>
  <c r="D43" i="10"/>
  <c r="E43" i="10"/>
  <c r="G51" i="10"/>
  <c r="I43" i="10"/>
  <c r="F43" i="10"/>
  <c r="D42" i="10"/>
  <c r="I42" i="10"/>
  <c r="H42" i="10"/>
  <c r="G42" i="10"/>
  <c r="F42" i="10"/>
  <c r="E42" i="10"/>
  <c r="C13" i="8"/>
  <c r="I21" i="10" s="1"/>
  <c r="I22" i="10" s="1"/>
  <c r="C14" i="8"/>
  <c r="F21" i="10" s="1"/>
  <c r="F22" i="10" s="1"/>
  <c r="F24" i="10" s="1"/>
  <c r="C10" i="8"/>
  <c r="H11" i="9"/>
  <c r="AB35" i="7"/>
  <c r="H48" i="14" l="1"/>
  <c r="H53" i="14" s="1"/>
  <c r="J53" i="14" s="1"/>
  <c r="H93" i="14"/>
  <c r="J92" i="14"/>
  <c r="G7" i="9"/>
  <c r="G8" i="9" s="1"/>
  <c r="G13" i="9" s="1"/>
  <c r="K8" i="9"/>
  <c r="K12" i="9"/>
  <c r="M11" i="9"/>
  <c r="I13" i="9"/>
  <c r="C84" i="9" s="1"/>
  <c r="H26" i="7"/>
  <c r="H27" i="7" s="1"/>
  <c r="H8" i="9"/>
  <c r="E21" i="10"/>
  <c r="E22" i="10" s="1"/>
  <c r="D52" i="10"/>
  <c r="D53" i="10" s="1"/>
  <c r="E32" i="10"/>
  <c r="E33" i="10" s="1"/>
  <c r="E34" i="10" s="1"/>
  <c r="F32" i="10"/>
  <c r="F33" i="10" s="1"/>
  <c r="F34" i="10" s="1"/>
  <c r="F35" i="10" s="1"/>
  <c r="F37" i="10" s="1"/>
  <c r="H32" i="10"/>
  <c r="H33" i="10" s="1"/>
  <c r="H34" i="10" s="1"/>
  <c r="D32" i="10"/>
  <c r="D33" i="10" s="1"/>
  <c r="D34" i="10" s="1"/>
  <c r="D36" i="10" s="1"/>
  <c r="D45" i="10" s="1"/>
  <c r="D47" i="10" s="1"/>
  <c r="D32" i="12"/>
  <c r="D33" i="12" s="1"/>
  <c r="D34" i="12" s="1"/>
  <c r="D35" i="12" s="1"/>
  <c r="D37" i="12" s="1"/>
  <c r="H32" i="12"/>
  <c r="H33" i="12" s="1"/>
  <c r="H34" i="12" s="1"/>
  <c r="H35" i="12" s="1"/>
  <c r="H37" i="12" s="1"/>
  <c r="G32" i="10"/>
  <c r="G33" i="10" s="1"/>
  <c r="G34" i="10" s="1"/>
  <c r="G35" i="10" s="1"/>
  <c r="G37" i="10" s="1"/>
  <c r="C38" i="10"/>
  <c r="C36" i="10" s="1"/>
  <c r="C45" i="10" s="1"/>
  <c r="C47" i="10" s="1"/>
  <c r="C52" i="10"/>
  <c r="C53" i="10" s="1"/>
  <c r="H52" i="10"/>
  <c r="H53" i="10" s="1"/>
  <c r="H24" i="10"/>
  <c r="D24" i="10"/>
  <c r="F38" i="10"/>
  <c r="C35" i="10"/>
  <c r="C37" i="10" s="1"/>
  <c r="G38" i="10"/>
  <c r="G52" i="10"/>
  <c r="G53" i="10" s="1"/>
  <c r="F52" i="10"/>
  <c r="F53" i="10" s="1"/>
  <c r="E35" i="12"/>
  <c r="E37" i="12" s="1"/>
  <c r="C32" i="12"/>
  <c r="C33" i="12" s="1"/>
  <c r="C34" i="12" s="1"/>
  <c r="F35" i="12"/>
  <c r="F37" i="12" s="1"/>
  <c r="F44" i="12"/>
  <c r="F46" i="12" s="1"/>
  <c r="F45" i="12"/>
  <c r="F47" i="12" s="1"/>
  <c r="I32" i="12"/>
  <c r="I33" i="12" s="1"/>
  <c r="I34" i="12" s="1"/>
  <c r="E36" i="12"/>
  <c r="G32" i="12"/>
  <c r="G33" i="12" s="1"/>
  <c r="G34" i="12" s="1"/>
  <c r="C16" i="12"/>
  <c r="I24" i="10"/>
  <c r="I35" i="10" s="1"/>
  <c r="I37" i="10" s="1"/>
  <c r="I38" i="10"/>
  <c r="I36" i="10" s="1"/>
  <c r="I52" i="10"/>
  <c r="I53" i="10" s="1"/>
  <c r="H12" i="9"/>
  <c r="N30" i="7"/>
  <c r="N31" i="7"/>
  <c r="F6" i="14" l="1"/>
  <c r="B2" i="14"/>
  <c r="B75" i="14"/>
  <c r="J48" i="14"/>
  <c r="H98" i="14"/>
  <c r="J98" i="14" s="1"/>
  <c r="D188" i="1" s="1"/>
  <c r="D17" i="1" s="1"/>
  <c r="J93" i="14"/>
  <c r="K13" i="9"/>
  <c r="C82" i="9" s="1"/>
  <c r="M12" i="9"/>
  <c r="M7" i="9"/>
  <c r="M8" i="9"/>
  <c r="N26" i="7"/>
  <c r="H32" i="7"/>
  <c r="N27" i="7"/>
  <c r="N32" i="7" s="1"/>
  <c r="C2" i="7" s="1"/>
  <c r="D210" i="1" s="1"/>
  <c r="D181" i="1" s="1"/>
  <c r="E52" i="10"/>
  <c r="E53" i="10" s="1"/>
  <c r="C16" i="10" s="1"/>
  <c r="E38" i="10"/>
  <c r="E36" i="10" s="1"/>
  <c r="E45" i="10" s="1"/>
  <c r="E47" i="10" s="1"/>
  <c r="E24" i="10"/>
  <c r="E35" i="10" s="1"/>
  <c r="E37" i="10" s="1"/>
  <c r="D35" i="10"/>
  <c r="D37" i="10" s="1"/>
  <c r="D36" i="12"/>
  <c r="D44" i="12" s="1"/>
  <c r="D46" i="12" s="1"/>
  <c r="F36" i="10"/>
  <c r="F45" i="10" s="1"/>
  <c r="F47" i="10" s="1"/>
  <c r="H36" i="12"/>
  <c r="H45" i="12" s="1"/>
  <c r="H47" i="12" s="1"/>
  <c r="G35" i="12"/>
  <c r="G37" i="12" s="1"/>
  <c r="G36" i="12"/>
  <c r="G44" i="12" s="1"/>
  <c r="G46" i="12" s="1"/>
  <c r="G36" i="10"/>
  <c r="G45" i="10" s="1"/>
  <c r="G47" i="10" s="1"/>
  <c r="H35" i="10"/>
  <c r="H37" i="10" s="1"/>
  <c r="D44" i="10"/>
  <c r="D46" i="10" s="1"/>
  <c r="D48" i="10" s="1"/>
  <c r="D55" i="10" s="1"/>
  <c r="C44" i="10"/>
  <c r="C46" i="10" s="1"/>
  <c r="C48" i="10" s="1"/>
  <c r="I35" i="12"/>
  <c r="I37" i="12" s="1"/>
  <c r="I36" i="12"/>
  <c r="C35" i="12"/>
  <c r="C37" i="12" s="1"/>
  <c r="C36" i="12"/>
  <c r="F48" i="12"/>
  <c r="F55" i="12" s="1"/>
  <c r="E44" i="12"/>
  <c r="E46" i="12" s="1"/>
  <c r="E45" i="12"/>
  <c r="E47" i="12" s="1"/>
  <c r="H36" i="10"/>
  <c r="H45" i="10" s="1"/>
  <c r="H47" i="10" s="1"/>
  <c r="I45" i="10"/>
  <c r="I47" i="10" s="1"/>
  <c r="I44" i="10"/>
  <c r="I46" i="10" s="1"/>
  <c r="H13" i="9"/>
  <c r="C80" i="9" s="1"/>
  <c r="D206" i="1" l="1"/>
  <c r="D22" i="1" s="1"/>
  <c r="D26" i="1"/>
  <c r="M13" i="9"/>
  <c r="C2" i="9" s="1"/>
  <c r="J13" i="9"/>
  <c r="C81" i="9" s="1"/>
  <c r="E44" i="10"/>
  <c r="E46" i="10" s="1"/>
  <c r="E48" i="10" s="1"/>
  <c r="E55" i="10" s="1"/>
  <c r="H44" i="12"/>
  <c r="H46" i="12" s="1"/>
  <c r="H48" i="12" s="1"/>
  <c r="H55" i="12" s="1"/>
  <c r="D45" i="12"/>
  <c r="D47" i="12" s="1"/>
  <c r="D48" i="12" s="1"/>
  <c r="D55" i="12" s="1"/>
  <c r="G45" i="12"/>
  <c r="G47" i="12" s="1"/>
  <c r="G48" i="12" s="1"/>
  <c r="G55" i="12" s="1"/>
  <c r="F44" i="10"/>
  <c r="F46" i="10" s="1"/>
  <c r="F48" i="10" s="1"/>
  <c r="F55" i="10" s="1"/>
  <c r="G44" i="10"/>
  <c r="G46" i="10" s="1"/>
  <c r="G48" i="10" s="1"/>
  <c r="G55" i="10" s="1"/>
  <c r="C55" i="10"/>
  <c r="H44" i="10"/>
  <c r="H46" i="10" s="1"/>
  <c r="H48" i="10" s="1"/>
  <c r="H55" i="10" s="1"/>
  <c r="E48" i="12"/>
  <c r="E55" i="12" s="1"/>
  <c r="C44" i="12"/>
  <c r="C46" i="12" s="1"/>
  <c r="C45" i="12"/>
  <c r="C47" i="12" s="1"/>
  <c r="I44" i="12"/>
  <c r="I46" i="12" s="1"/>
  <c r="I45" i="12"/>
  <c r="I47" i="12" s="1"/>
  <c r="I48" i="10"/>
  <c r="I55" i="10" s="1"/>
  <c r="C15" i="10" l="1"/>
  <c r="C17" i="10" s="1"/>
  <c r="D185" i="1"/>
  <c r="D25" i="1" s="1"/>
  <c r="I48" i="12"/>
  <c r="I55" i="12" s="1"/>
  <c r="C48" i="12"/>
  <c r="C15" i="12" l="1"/>
  <c r="C17" i="12" s="1"/>
  <c r="D191" i="1" s="1"/>
  <c r="D18" i="1" s="1"/>
  <c r="D29" i="1" s="1"/>
  <c r="C55" i="12"/>
  <c r="D33" i="1" l="1"/>
  <c r="D34" i="1" s="1"/>
</calcChain>
</file>

<file path=xl/sharedStrings.xml><?xml version="1.0" encoding="utf-8"?>
<sst xmlns="http://schemas.openxmlformats.org/spreadsheetml/2006/main" count="1785" uniqueCount="642">
  <si>
    <r>
      <rPr>
        <b/>
        <sz val="20"/>
        <color rgb="FF000000"/>
        <rFont val="Source Sans Pro"/>
        <family val="2"/>
      </rPr>
      <t xml:space="preserve">OHJEET LASKURIN KÄYTTÖÖN
</t>
    </r>
    <r>
      <rPr>
        <sz val="18"/>
        <color rgb="FF000000"/>
        <rFont val="Source Sans Pro"/>
        <family val="2"/>
      </rPr>
      <t xml:space="preserve">Keräätkää tälle välilehdelle organisaation toimintavuotta kuvaavat tiedot. </t>
    </r>
    <r>
      <rPr>
        <b/>
        <u/>
        <sz val="18"/>
        <color rgb="FF000000"/>
        <rFont val="Source Sans Pro"/>
        <family val="2"/>
      </rPr>
      <t xml:space="preserve">Täyttäkää tietoja ainoastaan </t>
    </r>
    <r>
      <rPr>
        <b/>
        <u/>
        <sz val="18"/>
        <color rgb="FFF0E005"/>
        <rFont val="Source Sans Pro"/>
        <family val="2"/>
      </rPr>
      <t>keltaisella</t>
    </r>
    <r>
      <rPr>
        <b/>
        <u/>
        <sz val="18"/>
        <color rgb="FF000000"/>
        <rFont val="Source Sans Pro"/>
        <family val="2"/>
      </rPr>
      <t xml:space="preserve"> pohjavärillä merkittyihin soluihin.</t>
    </r>
    <r>
      <rPr>
        <b/>
        <sz val="18"/>
        <color rgb="FF000000"/>
        <rFont val="Source Sans Pro"/>
        <family val="2"/>
      </rPr>
      <t xml:space="preserve"> </t>
    </r>
    <r>
      <rPr>
        <sz val="18"/>
        <color rgb="FF000000"/>
        <rFont val="Source Sans Pro"/>
        <family val="2"/>
      </rPr>
      <t xml:space="preserve">Mitä tarkemmin syötätte tietoja, sitä tarkemman hiilijalanjälkilaskelman saatte. </t>
    </r>
    <r>
      <rPr>
        <b/>
        <u/>
        <sz val="18"/>
        <color rgb="FF000000"/>
        <rFont val="Source Sans Pro"/>
        <family val="2"/>
      </rPr>
      <t>Jos ette tiedä, antakaa paras mahdollinen arvionne.</t>
    </r>
    <r>
      <rPr>
        <sz val="18"/>
        <color rgb="FF000000"/>
        <rFont val="Source Sans Pro"/>
        <family val="2"/>
      </rPr>
      <t xml:space="preserve"> 
</t>
    </r>
    <r>
      <rPr>
        <b/>
        <u/>
        <sz val="18"/>
        <color rgb="FF000000"/>
        <rFont val="Source Sans Pro"/>
        <family val="2"/>
      </rPr>
      <t>Seuratkaa solujen pop-up-lisäohjeita</t>
    </r>
    <r>
      <rPr>
        <sz val="18"/>
        <color rgb="FF000000"/>
        <rFont val="Source Sans Pro"/>
        <family val="2"/>
      </rPr>
      <t xml:space="preserve">, jotta tiedot tulevat täytetyksi oikein. 
Käyttäkää alasvetovalikkoa, jos sellainen on tarjolla. </t>
    </r>
    <r>
      <rPr>
        <b/>
        <u/>
        <sz val="18"/>
        <color rgb="FF000000"/>
        <rFont val="Source Sans Pro"/>
        <family val="2"/>
      </rPr>
      <t>Muille välilehdille ei tarvitse syöttää tietoja.</t>
    </r>
  </si>
  <si>
    <t>TRADEKA</t>
  </si>
  <si>
    <r>
      <rPr>
        <b/>
        <sz val="20"/>
        <color rgb="FF000000"/>
        <rFont val="Source Sans Pro"/>
        <family val="2"/>
      </rPr>
      <t xml:space="preserve"> TARVITSETTE LASKURIN TÄYTTÄMISEEN TIEDON TAI ARVION
</t>
    </r>
    <r>
      <rPr>
        <sz val="18"/>
        <color rgb="FF000000"/>
        <rFont val="Source Sans Pro"/>
        <family val="2"/>
      </rPr>
      <t>- Vuotuisista matkoista
- Viikkotoiminnan käyntimääristä
- Vuotuisista hankinnoista
- Vuosittain järjestämistä tapahtumista (sis. osallistujien lukumäärä, matkat ja tarjoilut)
- Poltetuista materiaaleista
- Käytössä olevista kiinteistötyypeistä,  pinta-aloista ja sähkösopimustyypeistä
- Sähkön- ja lämmönkulutuslukemista
- Henkilötyövuosista koskien palkattuja henkilöitä
- Organisaation omistamien ajoneuvojen polttoainetyypistä ja kulutuksesta tai kilometreistä</t>
    </r>
  </si>
  <si>
    <t>SUOMEN PARTIOLAISET - FINLADS SCOUTER</t>
  </si>
  <si>
    <t>TÄYTTÄJÄ / ORGANISAATIO</t>
  </si>
  <si>
    <t>VUOSI</t>
  </si>
  <si>
    <t>ORGANISAATION JÄSENMÄÄRÄ</t>
  </si>
  <si>
    <t>VUOTUINEN HIILIJALANJÄLKI</t>
  </si>
  <si>
    <t>kgCO2e/vuosi</t>
  </si>
  <si>
    <t>Säännöllinen toiminta / viikkotoiminta</t>
  </si>
  <si>
    <t>Jätehuolto</t>
  </si>
  <si>
    <t>Hankinnat</t>
  </si>
  <si>
    <t>Palvelut</t>
  </si>
  <si>
    <t>Poltto</t>
  </si>
  <si>
    <t>USELESS</t>
  </si>
  <si>
    <t>Tapahtumat</t>
  </si>
  <si>
    <t>Postitus</t>
  </si>
  <si>
    <t>Perustuu Osuuskunta Tradekan Hanketoiminnan ilmastolaskuriin</t>
  </si>
  <si>
    <t>Energia</t>
  </si>
  <si>
    <t>https://www.tradeka.fi/vastuullisuus/hanketoiminnan-ilmastolaskuri</t>
  </si>
  <si>
    <t>Lentäminen, yöpyminen ja muut matkat</t>
  </si>
  <si>
    <t>Palkatun henkilöstön työmatkustaminen</t>
  </si>
  <si>
    <t>Organisaation ajoneuvot</t>
  </si>
  <si>
    <t>Versio: 1.0 (13.9.2023)</t>
  </si>
  <si>
    <t>Yhteensä</t>
  </si>
  <si>
    <t>Yhteensä per jäsen</t>
  </si>
  <si>
    <t>HIILIKOMPENSAATIO</t>
  </si>
  <si>
    <t>Hiilikompensaation hinta</t>
  </si>
  <si>
    <t>euroa/kgCO2e</t>
  </si>
  <si>
    <t>Lisätietoja:</t>
  </si>
  <si>
    <t>Hiilikompensaation hinta per jäsen</t>
  </si>
  <si>
    <t>SÄÄNNÖLLINEN TOIMINTA / VIIKKOTOIMINTA</t>
  </si>
  <si>
    <t>Säännöllisen toiminnan käyntikerrat (yhteenlaskettu)</t>
  </si>
  <si>
    <t>kpl/vuosi</t>
  </si>
  <si>
    <t>Arvio keskimääräisestä kulkuetäisyydestä</t>
  </si>
  <si>
    <t>km/osallistuja/käyntikerta</t>
  </si>
  <si>
    <t>Arvio omalla autolla matkustaneiden osuudesta</t>
  </si>
  <si>
    <t>%/vuosi</t>
  </si>
  <si>
    <t>Arvio kimppakyydeillä matkustaneiden osuudesta</t>
  </si>
  <si>
    <t>Arvio julkisilla/yhteiskuljetuksilla matkustaneiden osuudesta</t>
  </si>
  <si>
    <t>Arvio kävellen/pyöräillen matkustaneiden osuudesta</t>
  </si>
  <si>
    <t>JÄTEHUOLTO</t>
  </si>
  <si>
    <t>Lajitellaanko toiminnassa syntyvät jätteet?</t>
  </si>
  <si>
    <t>Valitse</t>
  </si>
  <si>
    <t>HANKINNAT</t>
  </si>
  <si>
    <t>Ostettu uutena tai vuokrattu</t>
  </si>
  <si>
    <t>Ostettu käytettynä tai lainattu</t>
  </si>
  <si>
    <t>euroa/vuosi</t>
  </si>
  <si>
    <t>Muut hankinnat</t>
  </si>
  <si>
    <t>POLTTO</t>
  </si>
  <si>
    <t>kg/vuosi</t>
  </si>
  <si>
    <t>litraa/vuosi</t>
  </si>
  <si>
    <t>ORGANISAATION JÄRJESTÄMÄT TAPAHTUMAT (LASKELMA TEHTY MUUALLA)</t>
  </si>
  <si>
    <t>Voitte laskea partiotapahtumien hiilijalanjäljen tarkemmin Talla-laskurilla.</t>
  </si>
  <si>
    <t>Tapahtuman nimi</t>
  </si>
  <si>
    <t>Hiilijalanjälki</t>
  </si>
  <si>
    <t>kgCO2e/tapahtuma</t>
  </si>
  <si>
    <t>ORGANISAATION JÄRJESTÄMÄT TAPAHTUMAT (LASKE ALLA)</t>
  </si>
  <si>
    <t>Tapahtumissa tarjotut lämpimät ateriat yhteensä</t>
  </si>
  <si>
    <t>Arvio kasvisruoan osuudesta osuudesta</t>
  </si>
  <si>
    <t>Arvio kala-/kana-/porsaanliharuoan osuudesta</t>
  </si>
  <si>
    <t>Arvio naudanliharuoan osuudesta</t>
  </si>
  <si>
    <t>Kuinka monta henkilöä tapahtumiin on osallistunut?</t>
  </si>
  <si>
    <t>Arvio keskimääräisestä kulkuetäisyydestä tapahtumaan</t>
  </si>
  <si>
    <t>km/osallistuja/tapahtuma</t>
  </si>
  <si>
    <t>Tapahtumien hankinnat</t>
  </si>
  <si>
    <t>Tästä alempana olevia tietoja tarvitaan harvemmin lippukuntatoiminnassa, mutta erityisesti keskusjärjestön ja piirien on hyvä katsoa ne tarkkaan läpi.</t>
  </si>
  <si>
    <t>POSTITUS JA ADVENTTIKALENTERIT</t>
  </si>
  <si>
    <r>
      <t xml:space="preserve">HUOM! Varmistakaa, että olette syöttänyt tiedot pyydetyissä yksiköissä </t>
    </r>
    <r>
      <rPr>
        <b/>
        <sz val="14"/>
        <color theme="9"/>
        <rFont val="Source Sans Pro"/>
        <family val="2"/>
      </rPr>
      <t>1MWh = 1000 kWh</t>
    </r>
    <r>
      <rPr>
        <b/>
        <sz val="14"/>
        <color rgb="FFBF0171"/>
        <rFont val="Source Sans Pro"/>
        <family val="2"/>
      </rPr>
      <t>.</t>
    </r>
  </si>
  <si>
    <t>TOIMITILAT JA KIINTEISTÖT</t>
  </si>
  <si>
    <t>Käytössä olevat lämmitetyt neliöt [m2]</t>
  </si>
  <si>
    <t>Sähkösopimuksen tyyppi</t>
  </si>
  <si>
    <t>Lämmitystapa</t>
  </si>
  <si>
    <t>Tiedättekö vuotuisen sähkönkulutuksen? *</t>
  </si>
  <si>
    <t>Tiedättekö vuotuisen lämmönkulutuksen? *</t>
  </si>
  <si>
    <r>
      <t xml:space="preserve">Vuotuinen sähkönkulutus (toteuma) </t>
    </r>
    <r>
      <rPr>
        <b/>
        <u/>
        <sz val="12"/>
        <color theme="9"/>
        <rFont val="Source Sans Pro"/>
        <family val="2"/>
      </rPr>
      <t>[kWh]</t>
    </r>
  </si>
  <si>
    <r>
      <t>Vuotuinen lämmönkulutus (toteum</t>
    </r>
    <r>
      <rPr>
        <b/>
        <sz val="12"/>
        <rFont val="Source Sans Pro"/>
        <family val="2"/>
      </rPr>
      <t xml:space="preserve">a) </t>
    </r>
    <r>
      <rPr>
        <b/>
        <u/>
        <sz val="12"/>
        <color theme="9"/>
        <rFont val="Source Sans Pro"/>
        <family val="2"/>
      </rPr>
      <t>[MWh]</t>
    </r>
  </si>
  <si>
    <t xml:space="preserve">LENTÄMINEN, YÖPYMINEN SEKÄ MUUT ORGANISAATION KORVAAMAT MATKAT </t>
  </si>
  <si>
    <r>
      <rPr>
        <b/>
        <sz val="18"/>
        <color theme="9"/>
        <rFont val="Source Sans Pro"/>
        <family val="2"/>
      </rPr>
      <t>1. OSIO</t>
    </r>
    <r>
      <rPr>
        <b/>
        <sz val="18"/>
        <color theme="1"/>
        <rFont val="Source Sans Pro"/>
        <family val="2"/>
      </rPr>
      <t>: Kpl &amp; km / vuosi</t>
    </r>
  </si>
  <si>
    <r>
      <rPr>
        <b/>
        <sz val="18"/>
        <color theme="9"/>
        <rFont val="Source Sans Pro"/>
        <family val="2"/>
      </rPr>
      <t>2. OSIO</t>
    </r>
    <r>
      <rPr>
        <b/>
        <sz val="18"/>
        <color rgb="FFBF0171"/>
        <rFont val="Source Sans Pro"/>
        <family val="2"/>
      </rPr>
      <t>:</t>
    </r>
    <r>
      <rPr>
        <b/>
        <sz val="18"/>
        <color theme="1"/>
        <rFont val="Source Sans Pro"/>
        <family val="2"/>
      </rPr>
      <t xml:space="preserve"> Euroa / vuosi</t>
    </r>
  </si>
  <si>
    <t>Lennot: kotimaa</t>
  </si>
  <si>
    <t xml:space="preserve">kpl </t>
  </si>
  <si>
    <t>Lennot: ulkomaa</t>
  </si>
  <si>
    <t>kpl</t>
  </si>
  <si>
    <t>Kilometrikorvausten alaiset kilometrit autolla</t>
  </si>
  <si>
    <t>km</t>
  </si>
  <si>
    <t>Liikematkat junalla</t>
  </si>
  <si>
    <t>Liikematkat bussilla</t>
  </si>
  <si>
    <t>Hotelliyöpymisten määrä</t>
  </si>
  <si>
    <t>Taksimatkat</t>
  </si>
  <si>
    <t>Laivamatkat</t>
  </si>
  <si>
    <t>PALKATTU HENKILÖSTÖ</t>
  </si>
  <si>
    <t>Henkilötyövuodet</t>
  </si>
  <si>
    <r>
      <t xml:space="preserve">Arvioitu </t>
    </r>
    <r>
      <rPr>
        <b/>
        <sz val="14"/>
        <color theme="1"/>
        <rFont val="Source Sans Pro"/>
        <family val="2"/>
      </rPr>
      <t>lähityön</t>
    </r>
    <r>
      <rPr>
        <sz val="14"/>
        <color theme="1"/>
        <rFont val="Source Sans Pro"/>
        <family val="2"/>
      </rPr>
      <t xml:space="preserve"> osuus vuonna 2022 koko henkilöstölle</t>
    </r>
  </si>
  <si>
    <t>ORGANISAATION OMISTAMAT AJONEUVOT</t>
  </si>
  <si>
    <t>Ajoneuvotyyppi</t>
  </si>
  <si>
    <t>Polttoaine</t>
  </si>
  <si>
    <t>Vuotuinen ajoneuvotyypin yhteenlaskettu polttoaineen kulutus
- Polttomoottori: litraa/vuosi
- Sähköauto: kWh/vuosi
- Kaasuauto: kg/vuosi</t>
  </si>
  <si>
    <t xml:space="preserve">Vuotuiset ajoneuvotyypin yhteenlasketut kilometrit/vuosi  keskimäärin (ei koske veneitä) </t>
  </si>
  <si>
    <t>ENERGIA, TULOKSET</t>
  </si>
  <si>
    <t>Hiilijalanälki, sähkö</t>
  </si>
  <si>
    <t>Hiilijalanjälki, lämmitys</t>
  </si>
  <si>
    <t>OMISTETUT AJONEUVOT, TULOKSET</t>
  </si>
  <si>
    <t>Hiilijalanjälki, ajoneuvot</t>
  </si>
  <si>
    <t>HENKILÖSTÖN / AKTIIVIEN / JÄSENTEN TYÖMATKAT, TULOKSET</t>
  </si>
  <si>
    <t>Hiilijalanjälki, työmatkat</t>
  </si>
  <si>
    <t>LIIKEMATKAT, TULOKSET</t>
  </si>
  <si>
    <t>Hiilijalanjälki, liikematkat</t>
  </si>
  <si>
    <t>SÄÄNNÖLLINEN TOIMINTA, TULOKSET</t>
  </si>
  <si>
    <t>Hiilijalanjälki, säännöllinen toiminta</t>
  </si>
  <si>
    <t>JÄTEHUOLTO, TULOKSET</t>
  </si>
  <si>
    <t>Hiilijalanjälki, jätehuolto</t>
  </si>
  <si>
    <t>POSTITUS, TULOKSET</t>
  </si>
  <si>
    <t>Hiilijalanjälki, postitus</t>
  </si>
  <si>
    <t>HANKINNAT, TULOKSET</t>
  </si>
  <si>
    <t>Hiilijalanjälki, hankinnat</t>
  </si>
  <si>
    <t>PALVELUT, TULOKSET</t>
  </si>
  <si>
    <t>Hiilijalanjälki, pavelut</t>
  </si>
  <si>
    <t>POLTTO, TULOKSET</t>
  </si>
  <si>
    <t>Hiilijalanjälki, poltto</t>
  </si>
  <si>
    <t>TAPAHTUMAT, TULOKSET</t>
  </si>
  <si>
    <t>Hiilijalanjälki, tapahtumat</t>
  </si>
  <si>
    <t>LASKETUT KERTOIMET LÄHTÖTIETOJEN PERUSTEELLA, EI TARVITSE NÄYTTÄÄ KÄYTTÄJÄLLE</t>
  </si>
  <si>
    <t>Henkilöstön töihin matkustaminen</t>
  </si>
  <si>
    <t>kgCO2e/henkilö/vuosi</t>
  </si>
  <si>
    <t>Tilojen lämmönkulutus [kWh/m2/vuosi]</t>
  </si>
  <si>
    <t>Tilojen lämmitys, päästöt [kgCO2e/m2/vuosi]</t>
  </si>
  <si>
    <t>Tilojen sähkönkulutus [kWh/m2/vuosi]</t>
  </si>
  <si>
    <t>Tilojen sähkönkulutus, päästöt [kgCO2e/m2/vuosi]</t>
  </si>
  <si>
    <t>Tilojen lämmönkulutuksen päästöt [kgCO2/vuosi]</t>
  </si>
  <si>
    <t>Tilojen sähkönkulutuksen päästöt [kgCO2/vuosi]</t>
  </si>
  <si>
    <t xml:space="preserve">Ajoneuvot, päästöt </t>
  </si>
  <si>
    <t>Päästökertoimet ja muut arvot</t>
  </si>
  <si>
    <t>Arvo</t>
  </si>
  <si>
    <t>Min</t>
  </si>
  <si>
    <t>Max</t>
  </si>
  <si>
    <t>Yksikkö</t>
  </si>
  <si>
    <t>Energiankulutus MJ/km</t>
  </si>
  <si>
    <t>Henkilöauto</t>
  </si>
  <si>
    <t>l/km</t>
  </si>
  <si>
    <t>Pakettiauto</t>
  </si>
  <si>
    <t>Henkilöauto, sähkö</t>
  </si>
  <si>
    <t>kWh/km</t>
  </si>
  <si>
    <t>Vene</t>
  </si>
  <si>
    <t>* ei käytössä</t>
  </si>
  <si>
    <t>Suorat ja epäsuorat päästöt yhteensä</t>
  </si>
  <si>
    <t>Bensiini</t>
  </si>
  <si>
    <t>kgCO2e/l</t>
  </si>
  <si>
    <t>Diesel</t>
  </si>
  <si>
    <t>Kaasu</t>
  </si>
  <si>
    <t>kgCO2e/kg</t>
  </si>
  <si>
    <t>Sähkö</t>
  </si>
  <si>
    <t>kg/kWh</t>
  </si>
  <si>
    <t>Explanation / Category</t>
  </si>
  <si>
    <t>Name</t>
  </si>
  <si>
    <t>Value</t>
  </si>
  <si>
    <t>Possible minimum</t>
  </si>
  <si>
    <t>Posible maximum</t>
  </si>
  <si>
    <t>Unit</t>
  </si>
  <si>
    <t>Technology representativeness</t>
  </si>
  <si>
    <t>Te</t>
  </si>
  <si>
    <t>Geographical representativeness</t>
  </si>
  <si>
    <t>Data sourcem, P = primary, S = secondary</t>
  </si>
  <si>
    <t>Overall quality (by lowest)</t>
  </si>
  <si>
    <t>Source (Author, year, Article / Publication name, page number / table number)</t>
  </si>
  <si>
    <t>Link</t>
  </si>
  <si>
    <t>Notes</t>
  </si>
  <si>
    <t>Energy</t>
  </si>
  <si>
    <t>Average emissions from electricity production, FI (hyödynjakomenetelmä),  2020</t>
  </si>
  <si>
    <t>gCO2e/kWh</t>
  </si>
  <si>
    <t>Very good</t>
  </si>
  <si>
    <t>Finland</t>
  </si>
  <si>
    <t>S</t>
  </si>
  <si>
    <t>Tilastokeskus</t>
  </si>
  <si>
    <t>https://pxhopea2.stat.fi/sahkoiset_julkaisut/energia2021/html/suom0011.htm</t>
  </si>
  <si>
    <t>Conversion</t>
  </si>
  <si>
    <t>TJ to kWh</t>
  </si>
  <si>
    <t>t to g</t>
  </si>
  <si>
    <t>Uusiutuva sähkö</t>
  </si>
  <si>
    <t>Keskimääräinen kaukolämpö</t>
  </si>
  <si>
    <t>Energiateollisuus</t>
  </si>
  <si>
    <t>https://energia.fi/files/5650/Kaukolampovuosi_2020_netti_kj_paivitetty_20210318.pdf</t>
  </si>
  <si>
    <t>Kevyt polttoöljy, päästökerroin</t>
  </si>
  <si>
    <t>tCO2e/TJ</t>
  </si>
  <si>
    <t>https://www.stat.fi/tup/khkinv/khkaasut_polttoaineluokitus.html</t>
  </si>
  <si>
    <t>Hake</t>
  </si>
  <si>
    <t>Pelletti</t>
  </si>
  <si>
    <t>Maakaasu, päästökerroin</t>
  </si>
  <si>
    <t>Kevyt polttoöljy, lämpöarvo</t>
  </si>
  <si>
    <t>GJ/t</t>
  </si>
  <si>
    <t>Hake, lämpöarvo</t>
  </si>
  <si>
    <t>Pelletti, lämpöarvo</t>
  </si>
  <si>
    <t>Maakaasu, lämpöarvo</t>
  </si>
  <si>
    <t>GJ/m3</t>
  </si>
  <si>
    <t>Maakasukattilan hyötysuhde</t>
  </si>
  <si>
    <t>https://www.motiva.fi/koti_ja_asuminen/rakentaminen/lammitysjarjestelman_valinta/lammitysmuodot/maakaasu</t>
  </si>
  <si>
    <t>Öljykattilan hyötysuhde</t>
  </si>
  <si>
    <t>https://oljylammitys.fi/energiatehokkuus/oljylammitysjarjestelman-energiatehokkuus/</t>
  </si>
  <si>
    <t>Hakekattilan hyötysuhde</t>
  </si>
  <si>
    <t>https://www.energiatehokaskoti.fi/suunnittelu/talotekniikan_suunnittelu/lammitys/puulammitys/hakelammitys</t>
  </si>
  <si>
    <t>Pelettikattilan hyötysuhde</t>
  </si>
  <si>
    <t>https://www.ymparisto.fi/fi-fi/rakentaminen/korjaustieto/taloyhtiot/energiatehokkuus/Uusiutuva_energia_ja_kaukolampo/Pellettilammitys#:~:text=Suuremmissa%20kohteissa%20laitteissa%20on%20yleens%C3%A4,k%C3%A4ytt%C3%B6ik%C3%A4%20on%2020%2D25%20vuotta.</t>
  </si>
  <si>
    <t>Maalämpöjärjestelmän COP</t>
  </si>
  <si>
    <t>Ilmalämpöpumpun COP</t>
  </si>
  <si>
    <t>Data</t>
  </si>
  <si>
    <t>Data center energy consumption</t>
  </si>
  <si>
    <t>kWh/GB</t>
  </si>
  <si>
    <t>Fair</t>
  </si>
  <si>
    <t>Global</t>
  </si>
  <si>
    <t>IEA. 2021. Assumptions for energy intensity of data centres, data transmission networks and devices in 2019.</t>
  </si>
  <si>
    <t>https://www.iea.org/data-and-statistics/charts/assumptions-for-energy-intensity-of-data-centres-data-transmission-networks-and-devices-in-2019'</t>
  </si>
  <si>
    <t>Data transfer energy consumption</t>
  </si>
  <si>
    <t>kWh/hr</t>
  </si>
  <si>
    <t>Average emissions from electricity production, FI (hyödynjakomenetelmä),  2019</t>
  </si>
  <si>
    <t>Very Good</t>
  </si>
  <si>
    <t>Tilastokeskus 2019</t>
  </si>
  <si>
    <t>Waste management</t>
  </si>
  <si>
    <t>Cartonboard recycling</t>
  </si>
  <si>
    <t>kgCO2e / t</t>
  </si>
  <si>
    <t>N/A</t>
  </si>
  <si>
    <t>EU</t>
  </si>
  <si>
    <t xml:space="preserve">Ecoinvent 3.5. </t>
  </si>
  <si>
    <t>Paper recycling 1</t>
  </si>
  <si>
    <t>Paper recycling 2</t>
  </si>
  <si>
    <t>WWF Ilmastolaskuri</t>
  </si>
  <si>
    <t xml:space="preserve"> Henna Teerihalme. 2018. HSY. Henkilökohtainen tiedonanto ja Dahlbo ym. 2011 SYKE </t>
  </si>
  <si>
    <t>Glass recycling</t>
  </si>
  <si>
    <t>Metal recycling</t>
  </si>
  <si>
    <t>Biowaste to composting</t>
  </si>
  <si>
    <t>Plastic waste to recycling</t>
  </si>
  <si>
    <t>Treatment of hazardous waste</t>
  </si>
  <si>
    <t>Tilastokeskus 2019 Polttoaineluokitus</t>
  </si>
  <si>
    <t>Mixed waste burning</t>
  </si>
  <si>
    <t>Other mixed waste burning</t>
  </si>
  <si>
    <t>Transportation</t>
  </si>
  <si>
    <t>Delivery lorry, CO2e, direct + indirect, calculated</t>
  </si>
  <si>
    <t>g CO2e/tkm</t>
  </si>
  <si>
    <t>Travel</t>
  </si>
  <si>
    <t>Average hotel stay, 4 star hotel</t>
  </si>
  <si>
    <t>kgCO2e/night</t>
  </si>
  <si>
    <t>Good</t>
  </si>
  <si>
    <t>Hotel Footprinting Tool</t>
  </si>
  <si>
    <t>https://www.hotelfootprints.org/footprinting</t>
  </si>
  <si>
    <t>Domestic flights Finland, average</t>
  </si>
  <si>
    <t>kgCO2e/pkm</t>
  </si>
  <si>
    <t>Calculated</t>
  </si>
  <si>
    <t>Average emissions of three Finnair aircrafts Helsinki-Oulu route</t>
  </si>
  <si>
    <t>International Flights, average</t>
  </si>
  <si>
    <t>Average emissions of four Finnair aircrafts Helsinki-London and Helsinki-New York route</t>
  </si>
  <si>
    <t>Citybus emissions, average</t>
  </si>
  <si>
    <t>gCO2e/pkm</t>
  </si>
  <si>
    <t>VTT LIPASTO</t>
  </si>
  <si>
    <t>Intercity train energy consumption</t>
  </si>
  <si>
    <t>kWh/pkm</t>
  </si>
  <si>
    <t>Pendolino train energy consumption</t>
  </si>
  <si>
    <t>SM4 commute train energy consumption</t>
  </si>
  <si>
    <t>SM5 commute train energy consumption</t>
  </si>
  <si>
    <t>Train emissions, average</t>
  </si>
  <si>
    <t>Tram emissions</t>
  </si>
  <si>
    <t>Subway emissions</t>
  </si>
  <si>
    <t>Car, direct emissions, average</t>
  </si>
  <si>
    <t>Car, indirect emissions, average</t>
  </si>
  <si>
    <t>g CO₂e/km</t>
  </si>
  <si>
    <t>Europe</t>
  </si>
  <si>
    <t>Diesel manufacturing and distributing</t>
  </si>
  <si>
    <t>g CO₂e/MJ</t>
  </si>
  <si>
    <t>Euroopan komissio 2015</t>
  </si>
  <si>
    <t>Direct emissions from diesel burning</t>
  </si>
  <si>
    <t>gCO2e/MJ</t>
  </si>
  <si>
    <t>https://www.neste.fi/vastuulliset-ratkaisut/tuotteet/uusiutuvat-polttoaineet/neste-my-uusiutuva-diesel/pienemmat-paastot</t>
  </si>
  <si>
    <t>Energy consumption of a waste truck, big 15t distribution truck, empty cargo (0t)</t>
  </si>
  <si>
    <t>MJ/km</t>
  </si>
  <si>
    <t>http://lipasto.vtt.fi/yksikkopaastot/tavaraliikenne/tieliikenne/kajaksuurijakelu.htm</t>
  </si>
  <si>
    <t>Energy consumption of a waste truck, big 15t distribution truck, full cargo (9t)</t>
  </si>
  <si>
    <t>Average energy consumption, passenger car</t>
  </si>
  <si>
    <t>http://lipasto.vtt.fi/yksikkopaastot/henkiloliikenne/tieliikenne/henkiloautot/hayht.htm</t>
  </si>
  <si>
    <t>Office equipment</t>
  </si>
  <si>
    <t>Average office chair</t>
  </si>
  <si>
    <t>kgCO2e/PCS</t>
  </si>
  <si>
    <t>FIRA (2011) BENCHMARKING CARBON FOOTPRINTS OF FURNITURE PRODUCTS</t>
  </si>
  <si>
    <t>Average office board</t>
  </si>
  <si>
    <t>Mobile phone</t>
  </si>
  <si>
    <t>Horn, Judl &amp; Pesu (SYKE) 2020: ICT-päätelaitteisiin liittyvät materiaali-, energia- ja ilmastokysymykset. Liikenne- ja viestintäministeriön julkaisuja 2020:12.</t>
  </si>
  <si>
    <t>Laptop</t>
  </si>
  <si>
    <t>Screen</t>
  </si>
  <si>
    <t>Tablet</t>
  </si>
  <si>
    <t>Multi function printer</t>
  </si>
  <si>
    <t>WWF 2017. http://www.ilmastolaskuri.fi/fi/calculation-basis?country=2&amp;year=10746.</t>
  </si>
  <si>
    <t>Printer</t>
  </si>
  <si>
    <t>Printing paper</t>
  </si>
  <si>
    <t>https://www.ilmastopaneeli.fi/autokalkulaattori/</t>
  </si>
  <si>
    <t>Direct emissions from petrol burning</t>
  </si>
  <si>
    <t>Indirect emissions from diesel burning</t>
  </si>
  <si>
    <t>Indirect emissions from petrol burning</t>
  </si>
  <si>
    <t>Petrol manufacturing and distributing</t>
  </si>
  <si>
    <t>Fuel manufacturing and distributing (41 % diesel, 59 % petrol)</t>
  </si>
  <si>
    <t>Gasoline energy consumption of hybrid electric vehicle (HEV), average</t>
  </si>
  <si>
    <t>Energy consumption of average diesel vehicle</t>
  </si>
  <si>
    <t>FI</t>
  </si>
  <si>
    <t>Emissions from production and distribution of methane</t>
  </si>
  <si>
    <t>Taulukko ES-1</t>
  </si>
  <si>
    <t>Emissions from methane combustion (CNG)</t>
  </si>
  <si>
    <t>gCO2e/ kg</t>
  </si>
  <si>
    <t>Energy content of methane (CNG)</t>
  </si>
  <si>
    <t>MJ/m3</t>
  </si>
  <si>
    <t xml:space="preserve">Energy consumption of an averageg gas vehicle (methane CNG) </t>
  </si>
  <si>
    <t>MJ/hkm</t>
  </si>
  <si>
    <t>Energy consumption of average battery electic vehicle (BEV)</t>
  </si>
  <si>
    <t>Energy consumption of average van</t>
  </si>
  <si>
    <t>Diesel energy content</t>
  </si>
  <si>
    <t>MJ/kg fuel</t>
  </si>
  <si>
    <t>Petrol energy content</t>
  </si>
  <si>
    <t>Diesel density</t>
  </si>
  <si>
    <t>kg/l</t>
  </si>
  <si>
    <t>Petrol density</t>
  </si>
  <si>
    <t>Medium sized electric vehicle energy consumption</t>
  </si>
  <si>
    <t>Car calculator background data</t>
  </si>
  <si>
    <t>The Finnish Climate Change Panel</t>
  </si>
  <si>
    <t>Ferry emissions, average</t>
  </si>
  <si>
    <t>Average hotel stay, 2 star hotel</t>
  </si>
  <si>
    <t>Lennot</t>
  </si>
  <si>
    <t>kgCO2e/€</t>
  </si>
  <si>
    <t>SUOMEN YMPÄRISTÖKESKUKSEN RAPORTTEJA 15 | 2019</t>
  </si>
  <si>
    <t>https://helda.helsinki.fi/bitstream/handle/10138/300737/SYKEra_15_2019_korjattu_26_02_2020.pdf?sequence=4&amp;isAllowed=y</t>
  </si>
  <si>
    <t xml:space="preserve">Hostelliyöpymisten määrä </t>
  </si>
  <si>
    <t>Auto</t>
  </si>
  <si>
    <t>city bus energy consumption</t>
  </si>
  <si>
    <t>Kiinteistötyyppi</t>
  </si>
  <si>
    <t>Mediaani sähkönkulutus [kWh/r-m3]</t>
  </si>
  <si>
    <t>Mediaani lämmönkulutus [kWh/r-m3]</t>
  </si>
  <si>
    <t>Lähde</t>
  </si>
  <si>
    <t>Toimisto</t>
  </si>
  <si>
    <t>https://www.motiva.fi/files/15570/Palvelusektorin_ominaiskulutukset_2011-2017.pdf</t>
  </si>
  <si>
    <t>Seura- tai kerhorakennus</t>
  </si>
  <si>
    <t>Myymälä</t>
  </si>
  <si>
    <t xml:space="preserve">Ravintola </t>
  </si>
  <si>
    <t>Koulu</t>
  </si>
  <si>
    <t>Leirikeskus</t>
  </si>
  <si>
    <t>Energiankulutuksen muunto m3-&gt; m2</t>
  </si>
  <si>
    <t>Mediaani sähkönkulutus [kWh/r-m2]</t>
  </si>
  <si>
    <t>Mediaani lämmönkulutus [kWh/r-m2]</t>
  </si>
  <si>
    <t>Oletettu huonekorkeus [m]</t>
  </si>
  <si>
    <t>Päästökerroin [gCO2e/kWh]</t>
  </si>
  <si>
    <t>Uusiutuva</t>
  </si>
  <si>
    <t>Päästötön</t>
  </si>
  <si>
    <t>Markkinasähkö</t>
  </si>
  <si>
    <t>Päästökerroin [gCO2e/kWh tarve]</t>
  </si>
  <si>
    <t>Kaukolämpö</t>
  </si>
  <si>
    <t>Sähkö, uusiutuva</t>
  </si>
  <si>
    <t>Sähkö, markkina</t>
  </si>
  <si>
    <t>Öljykattila</t>
  </si>
  <si>
    <t>Hakekattila</t>
  </si>
  <si>
    <t>Pellettikattila</t>
  </si>
  <si>
    <t>Maakaasukattila</t>
  </si>
  <si>
    <t>Ilmalämpöpumppu</t>
  </si>
  <si>
    <t>Maalämpö</t>
  </si>
  <si>
    <t>Työntekijöidet työmatkat</t>
  </si>
  <si>
    <t>kgCO2e/vuosi/työntekijä</t>
  </si>
  <si>
    <t>Kotimaan työ- ja työasiamatkojen keskipituus kulkutavoittain</t>
  </si>
  <si>
    <t>Kotimaan työmatkan
keskipituus kulkutavoittain</t>
  </si>
  <si>
    <t>Jalankulku</t>
  </si>
  <si>
    <t>https://www.traficom.fi/sites/default/files/media/file/Faktakortti-HLT2016-tyomatkat.pdf</t>
  </si>
  <si>
    <t>Pyöräily</t>
  </si>
  <si>
    <t>Bussi</t>
  </si>
  <si>
    <t>Raide</t>
  </si>
  <si>
    <t>Henkilöauto, kuljettaja</t>
  </si>
  <si>
    <t>Henkilöauto, matkustaja</t>
  </si>
  <si>
    <t>Muu</t>
  </si>
  <si>
    <t>Keskiarvo</t>
  </si>
  <si>
    <t>Kulkutapaosuudet matkoista</t>
  </si>
  <si>
    <t>Työssäkäyvät täysi-ikäiset suomalaiset</t>
  </si>
  <si>
    <t>https://www.traficom.fi/fi/ajankohtaista/julkaisut/valtakunnallinen-henkiloliikennetutkimus?toggle=Ty%C3%B6matkat&amp;toggle=Kotimaan%20pitk%C3%A4t%20%28yli%20100%20km%29%20matkat</t>
  </si>
  <si>
    <t>jalankulku</t>
  </si>
  <si>
    <t>pyöräily</t>
  </si>
  <si>
    <t>joukkoliikenne</t>
  </si>
  <si>
    <t>henkilöauto, kuljettaja</t>
  </si>
  <si>
    <t>henkilöauto, matkustaja</t>
  </si>
  <si>
    <t>muu</t>
  </si>
  <si>
    <t>Käytetyt päästökertoimet</t>
  </si>
  <si>
    <t>Suorat päästöt / a</t>
  </si>
  <si>
    <t>gCO2e/km</t>
  </si>
  <si>
    <t>Juna</t>
  </si>
  <si>
    <t>Raitiovaunu</t>
  </si>
  <si>
    <t>Metro</t>
  </si>
  <si>
    <t>Kävely</t>
  </si>
  <si>
    <t>Total</t>
  </si>
  <si>
    <t>gCO2e</t>
  </si>
  <si>
    <t>TOTAL</t>
  </si>
  <si>
    <t>kgCO2e</t>
  </si>
  <si>
    <t>Epäsuorat päästöt / a</t>
  </si>
  <si>
    <t>pkm = personal kilmeter (henkilökilometri)</t>
  </si>
  <si>
    <t>Vuotuiset työpäivät</t>
  </si>
  <si>
    <t>Lähityön osuus</t>
  </si>
  <si>
    <t>Yhden suuntaisen työmatkan kerroin</t>
  </si>
  <si>
    <t>Auto %</t>
  </si>
  <si>
    <t>Automatkan keskipituus</t>
  </si>
  <si>
    <t>Juna %</t>
  </si>
  <si>
    <t>Junamatkan keskipituus</t>
  </si>
  <si>
    <t>Bussi %</t>
  </si>
  <si>
    <t>Bussimatkan keskipituus</t>
  </si>
  <si>
    <t>Raitiovaunu %</t>
  </si>
  <si>
    <t>Raitiovaunumatkan keskipituus</t>
  </si>
  <si>
    <t>Metro %</t>
  </si>
  <si>
    <t>Metromatkan keskipituus</t>
  </si>
  <si>
    <t>Walk %</t>
  </si>
  <si>
    <t>Kävelyn keskipituus</t>
  </si>
  <si>
    <t>Cycle %</t>
  </si>
  <si>
    <t>Pyöräilyn keskipituus</t>
  </si>
  <si>
    <t>Muu %</t>
  </si>
  <si>
    <t>Muun keskipituus</t>
  </si>
  <si>
    <t>Auto [km] / a</t>
  </si>
  <si>
    <t>Juna [km] / a</t>
  </si>
  <si>
    <t>Bussi [km] / a</t>
  </si>
  <si>
    <t>Raitiovaunu [km] / a</t>
  </si>
  <si>
    <t>Metro [km] / a</t>
  </si>
  <si>
    <t>Kävely [km] / a</t>
  </si>
  <si>
    <t>Pyöräily [km] / a</t>
  </si>
  <si>
    <t>TOTAL  / a</t>
  </si>
  <si>
    <t xml:space="preserve">* Source: </t>
  </si>
  <si>
    <t>http://lipasto.vtt.fi/yksikkopaastot/</t>
  </si>
  <si>
    <t>Hiilijalanjälki postituksesta yhteensä</t>
  </si>
  <si>
    <t>Hiilijalanjälki hankinnoista yhteensä (ilman palveluita)</t>
  </si>
  <si>
    <t>Hiilijalanjälki poltosta yhteensä</t>
  </si>
  <si>
    <t>Hiilijalanjälki palveluista yhteensä</t>
  </si>
  <si>
    <t>Päästökertoimet</t>
  </si>
  <si>
    <t>kgCO2e/kpl</t>
  </si>
  <si>
    <t>lähde</t>
  </si>
  <si>
    <t>Adventtikalenteri</t>
  </si>
  <si>
    <t>Painotalo</t>
  </si>
  <si>
    <t>Lähetetyt kirjeet</t>
  </si>
  <si>
    <t>https://www.posti.com/vastuullisuus/ymparisto/kompensointi/</t>
  </si>
  <si>
    <t>Muu postitus</t>
  </si>
  <si>
    <t>kgCO2e/euro</t>
  </si>
  <si>
    <t>https://www.posti.com/vastuullisuus/ymparisto/kompensointi/; https://www.posti.fi/palvelutverkossa/lahettaminen/?utm_source=google&amp;utm_medium=cpc&amp;utm_campaign=b2c_sem&amp;utm_term=parcels&amp;utm_content=sending&amp;gclid=EAIaIQobChMI4bnAq9Ti_gIVZQzmCh1Gdw-yEAAYASAAEgJfhPD_BwE#/</t>
  </si>
  <si>
    <t>Määrä</t>
  </si>
  <si>
    <t>Linkki</t>
  </si>
  <si>
    <t>COICOP-luokka</t>
  </si>
  <si>
    <t>Määrä (ostettu uutena)</t>
  </si>
  <si>
    <t>Määrä (ostettu käytettynä)</t>
  </si>
  <si>
    <t>Partiohuivit, vaatteet ja vaatekankaat</t>
  </si>
  <si>
    <t>Vaatteet ja vaatekankaat</t>
  </si>
  <si>
    <t>Partiomerkit ja ansiomerkit</t>
  </si>
  <si>
    <t>Huonekalut, taide-esineet ja matot</t>
  </si>
  <si>
    <t>Teltat ja muut retkeilyvälineet</t>
  </si>
  <si>
    <t>Painotettu keskiarvo</t>
  </si>
  <si>
    <t>Askartelu- ja toimistotarvikkeet</t>
  </si>
  <si>
    <t>Kirjat ja lehdet</t>
  </si>
  <si>
    <t>Kirjat, lehdet ja esitteet</t>
  </si>
  <si>
    <t>Lasitavarat, astiat ja keittiötyövälineet</t>
  </si>
  <si>
    <t>Kodinkoneet ja työkalut</t>
  </si>
  <si>
    <t>Kodin ja puutarhan työkoneet, työkalut ym.</t>
  </si>
  <si>
    <t>uudelleenkäytettävä = 20%
https://helda.helsinki.fi/bitstream/handle/10138/300737/SYKEra_15_2019_korjattu_26_02_2020.pdf?sequence=4&amp;isAllowed=y</t>
  </si>
  <si>
    <t>Kalusteet</t>
  </si>
  <si>
    <t>Puu- ja rautakauppatavara</t>
  </si>
  <si>
    <t>Ensiaputarvikkeet</t>
  </si>
  <si>
    <t>Vessapaperi</t>
  </si>
  <si>
    <t>Kodinhoitotarvikkeet ja -palvelut</t>
  </si>
  <si>
    <t>Audiovisuaaliset laitteet ja tietokoneet</t>
  </si>
  <si>
    <t>Palvelut (esim. kirjanpito, kunnostustyöt)</t>
  </si>
  <si>
    <t>Muut palvelut</t>
  </si>
  <si>
    <t xml:space="preserve">Polttopuu </t>
  </si>
  <si>
    <t>https://www.kaltimber.com/blog/2017/6/19/how-much-co2-is-stored-in-1-kg-of-wood</t>
  </si>
  <si>
    <t xml:space="preserve">Nestekaasu </t>
  </si>
  <si>
    <t>https://www.linde-gas.fi/fi/images/Linde_AGAn%20nestekaasu_tcm634-153756.pdf</t>
  </si>
  <si>
    <t xml:space="preserve">Diesel </t>
  </si>
  <si>
    <t>https://www.bioenergianeuvoja.fi/faktaa/biopolttoaineiden-muuntokertoimia/
https://www.stat.fi/tup/khkinv/khkaasut_polttoaineluokitus.html</t>
  </si>
  <si>
    <t xml:space="preserve">Polttoöljy, valopetroli ym. </t>
  </si>
  <si>
    <t>HIILIJALANJÄLKI</t>
  </si>
  <si>
    <t>Hiilijalanjälki tilaisuuksista yhteensä</t>
  </si>
  <si>
    <t>Muualla laskettujen tapahtumien hiilijalanjälki</t>
  </si>
  <si>
    <t>Muualla lasketut tapahtumat</t>
  </si>
  <si>
    <t>Ruoka</t>
  </si>
  <si>
    <t>Matkustaminen</t>
  </si>
  <si>
    <t>Arvio keskimääräisestä kulkuetäisyydestä tilaisuuteen</t>
  </si>
  <si>
    <t>km/osallistuja/tilaisuus</t>
  </si>
  <si>
    <t>Arvio tapahtumiin kimppakyydeillä matkustaneiden osuudesta</t>
  </si>
  <si>
    <t>Tilaisuuksien hankinnat</t>
  </si>
  <si>
    <t>Food diet option</t>
  </si>
  <si>
    <t>Share</t>
  </si>
  <si>
    <t>Carbon Footprint</t>
  </si>
  <si>
    <t>Source</t>
  </si>
  <si>
    <t>-</t>
  </si>
  <si>
    <t>Kasvis</t>
  </si>
  <si>
    <t>kgCO2e/meal</t>
  </si>
  <si>
    <t>Saarinen M., Kurppa S., Nissinen A. ja Mäkelä J. 2011.Aterioiden ja asumisen valinnat kulutuksen ympäristövaikutusten ytimessä. ConsEnv-hankkeen loppuraportti. Suomen ympäristö 14/2011. Helsinki. Saatavilla: https://helda.helsinki.fi/bitstream/handle/10138/37037/SY_14_2011.pdf?sequence=3&amp;isAllowed=y</t>
  </si>
  <si>
    <t>Kala, kana, porsaanliha</t>
  </si>
  <si>
    <t>Naudanliha</t>
  </si>
  <si>
    <t>Coffee</t>
  </si>
  <si>
    <t>kgCO2/litre</t>
  </si>
  <si>
    <t>Usva, K., Sinkko, T., Silvenius F., Riipi, I. &amp; Heusala, H. (2020). Carbon and water footprint of coffee consumed in Finland—life cycle
assessment. The International Journal of Life Cycle Assessment (2020) 25:1976–1990.</t>
  </si>
  <si>
    <t>Size of coffee</t>
  </si>
  <si>
    <t>Food diet option, carbon Footprint</t>
  </si>
  <si>
    <t>Food</t>
  </si>
  <si>
    <t xml:space="preserve">TOTAL EMISSIONS </t>
  </si>
  <si>
    <t>Public transport, average</t>
  </si>
  <si>
    <t>Julkinenliikenne</t>
  </si>
  <si>
    <t>Kävely/pyöräily</t>
  </si>
  <si>
    <t>Kävely/Pyöräily</t>
  </si>
  <si>
    <t>Henkilömäärä</t>
  </si>
  <si>
    <t>Yhden suuntaisen matkan kerroin</t>
  </si>
  <si>
    <t>Julkinenliikenne %</t>
  </si>
  <si>
    <t>Julkisenliikenteen matkan keskipituus</t>
  </si>
  <si>
    <t>Kävely/pyöräily %</t>
  </si>
  <si>
    <t xml:space="preserve">Kävely/pyöräilymatkan keskipituus </t>
  </si>
  <si>
    <t>Auto [km] / vuosi</t>
  </si>
  <si>
    <t>Julkinenliikenne [km] / vuosi</t>
  </si>
  <si>
    <t>Kävely/pyöräily [km] / vuosi</t>
  </si>
  <si>
    <t>kgCO2e/e</t>
  </si>
  <si>
    <t>Muualla laskettu hiilijalanjälki</t>
  </si>
  <si>
    <t>*</t>
  </si>
  <si>
    <t>Keskimääräisen suomalaisen maanlaajuisen partiotapahtuman kulkuetäisyys</t>
  </si>
  <si>
    <t>Suomen Partiolaiset</t>
  </si>
  <si>
    <t>Muut tapahtumat</t>
  </si>
  <si>
    <t>Säännöllinen toiminta</t>
  </si>
  <si>
    <t>Hiilijalanjälki liikematkoista yhteensä</t>
  </si>
  <si>
    <t>Used emission factors - retrieve the values from emission factor sheet</t>
  </si>
  <si>
    <t>Direct Business Travell Emissions</t>
  </si>
  <si>
    <t>Flights</t>
  </si>
  <si>
    <t>Car</t>
  </si>
  <si>
    <t>Taxi</t>
  </si>
  <si>
    <t>Train</t>
  </si>
  <si>
    <t>Bus</t>
  </si>
  <si>
    <t>Ferry</t>
  </si>
  <si>
    <t>City bus  emissions, average</t>
  </si>
  <si>
    <t>Indirect Business Travell Emissions</t>
  </si>
  <si>
    <t>Long distance bus, average</t>
  </si>
  <si>
    <t>Radiative Forcing Index for flying</t>
  </si>
  <si>
    <t>x</t>
  </si>
  <si>
    <t>Domestics flights Finland, average</t>
  </si>
  <si>
    <t>International flights, average</t>
  </si>
  <si>
    <t>Ferry emissions</t>
  </si>
  <si>
    <t>Business Travell Emissions [€]</t>
  </si>
  <si>
    <t>Hotel</t>
  </si>
  <si>
    <t>Hotel/hostel stays</t>
  </si>
  <si>
    <t>Carbon footprint from hotel stays</t>
  </si>
  <si>
    <t>Assumptions for trip distances</t>
  </si>
  <si>
    <t>Domestic flight length</t>
  </si>
  <si>
    <t>International flight length</t>
  </si>
  <si>
    <t>Ferry, travel length</t>
  </si>
  <si>
    <t>Taxi, travel length</t>
  </si>
  <si>
    <t>Route</t>
  </si>
  <si>
    <t>Kilometers</t>
  </si>
  <si>
    <t>kgCO2e / pkm (Finnair)</t>
  </si>
  <si>
    <t>RFI-multiplier</t>
  </si>
  <si>
    <t>Total emissions [kgCO2e]</t>
  </si>
  <si>
    <t>Domestic flights</t>
  </si>
  <si>
    <t>International flights</t>
  </si>
  <si>
    <t xml:space="preserve">kgCO2e / pkm </t>
  </si>
  <si>
    <t>Tram [km]</t>
  </si>
  <si>
    <t>Other / mixed [km]</t>
  </si>
  <si>
    <t>Others</t>
  </si>
  <si>
    <t>Number of  two-way trips</t>
  </si>
  <si>
    <t>Number of  one-way trips</t>
  </si>
  <si>
    <t>Car [km]</t>
  </si>
  <si>
    <t>Train [km]</t>
  </si>
  <si>
    <t>City bus [km]</t>
  </si>
  <si>
    <t>Long distance  bus [km]</t>
  </si>
  <si>
    <t>Taxi [km]</t>
  </si>
  <si>
    <t>City bus</t>
  </si>
  <si>
    <t>Long distance bus</t>
  </si>
  <si>
    <t>Kuvaajaan</t>
  </si>
  <si>
    <t>Hotelliyöpymiset</t>
  </si>
  <si>
    <t>kgCO2e/t</t>
  </si>
  <si>
    <t>Paper recycling</t>
  </si>
  <si>
    <t>Emissions from diesel combustion (direct emissions)</t>
  </si>
  <si>
    <t>Well-To-Tank GHG emissions for  diesel (indirect emissions)</t>
  </si>
  <si>
    <t>Trasportation emissions</t>
  </si>
  <si>
    <t>kgCO2e/a</t>
  </si>
  <si>
    <t>Waste management emissions</t>
  </si>
  <si>
    <t>Total emissions</t>
  </si>
  <si>
    <t>Plastic</t>
  </si>
  <si>
    <t>Mixed waste</t>
  </si>
  <si>
    <t>Bio waste</t>
  </si>
  <si>
    <t>Card board</t>
  </si>
  <si>
    <t>Metal</t>
  </si>
  <si>
    <t>Glass</t>
  </si>
  <si>
    <t>Paper</t>
  </si>
  <si>
    <t>Notice</t>
  </si>
  <si>
    <t>Recycled of burned</t>
  </si>
  <si>
    <t>Burned or not?</t>
  </si>
  <si>
    <t>Recycled or not?</t>
  </si>
  <si>
    <t xml:space="preserve">Waste amount, kg </t>
  </si>
  <si>
    <t xml:space="preserve">Waste amount, t </t>
  </si>
  <si>
    <t>TRANSPORTATIONS</t>
  </si>
  <si>
    <t>Share of own load from total load  [%]</t>
  </si>
  <si>
    <t>Distance to waste management facility [km]</t>
  </si>
  <si>
    <t>Fuel consumption empty vehicle  [MJ/km]</t>
  </si>
  <si>
    <t>Fuel consumption full vehicle  [MJ/km]</t>
  </si>
  <si>
    <t>Vehicle total load [t]</t>
  </si>
  <si>
    <t>Vehicle mass [t]</t>
  </si>
  <si>
    <t>Total mass (vehicle mass + total load)  [t]</t>
  </si>
  <si>
    <t>Degree of filling  [%]</t>
  </si>
  <si>
    <t>Turun yliopiston logistiikkaselvityksen perusteella täyttöaste maantiekuljetusyritysten kiinteälle irtolastille: 90 %</t>
  </si>
  <si>
    <t>Fuel energy consumption increase per km [MJ/km]</t>
  </si>
  <si>
    <t>Fuel energy consumption increase per tonne load [MJ/tkm]</t>
  </si>
  <si>
    <t>Fuel consumption based on degree of filling [MJ/km]</t>
  </si>
  <si>
    <t>Fuel consumption of our own load [MJ/km]</t>
  </si>
  <si>
    <t>Total fuel consumption of waste transportation (driving occassions) [MJ]</t>
  </si>
  <si>
    <t>Total fuel consumption of waste transportation [MJ]</t>
  </si>
  <si>
    <t>Driving ocassions (full &amp; empty load)  [PCS]</t>
  </si>
  <si>
    <t>Fuel consumption with empty load (driving ocassions) [MJ]</t>
  </si>
  <si>
    <t>Fuel consumption with empty load [MJ]</t>
  </si>
  <si>
    <t>Direct emissions, combustion of fuel [gCO2e/MJ]</t>
  </si>
  <si>
    <t>Indirect emissions, processing and distribution of fuel  [gCO2e/MJ]</t>
  </si>
  <si>
    <t>Direct emissions, combustion of fuel [gCO2e]</t>
  </si>
  <si>
    <t>Indirect emissions, processing and distribution of fuel  [gCO2e]</t>
  </si>
  <si>
    <t>Direct emissions, combustion of fuel [kgCO2e]</t>
  </si>
  <si>
    <t>Indirect emissions, processing and distribution of fuel  [kgCO2e]</t>
  </si>
  <si>
    <t>Waste transportation emissions TOTAL  [kgCO2e]</t>
  </si>
  <si>
    <t>WASTE MANAGEMENT</t>
  </si>
  <si>
    <t>Share of recycled card board %</t>
  </si>
  <si>
    <t>Emission factor [kgCO2e/t]</t>
  </si>
  <si>
    <t>Waste management emissions TOTAL [tCO2€]</t>
  </si>
  <si>
    <t>Waste management emissions TOTAL [kgCO2e]</t>
  </si>
  <si>
    <t>Waste management and transportation emissions TOTAL [kgCO2e]</t>
  </si>
  <si>
    <t>Tällä välilehdellä tuotetaan arvio toimistolla syntyvistä jätteistä per henkilö per vuosi.</t>
  </si>
  <si>
    <t>If-funktion ehto</t>
  </si>
  <si>
    <t>kyllä</t>
  </si>
  <si>
    <t>Huom.</t>
  </si>
  <si>
    <t>Oletus syntyvälle jätemäärälle per henkilö</t>
  </si>
  <si>
    <t>kg/htv</t>
  </si>
  <si>
    <t>Rinnastettu julkishallintoon</t>
  </si>
  <si>
    <t>https://julkaisut.valtioneuvosto.fi/bitstream/handle/10024/163316/YM_2021_24.pdf;jsessionid=D0AA12DBD1F14DF3033BCD73A32A5217?sequence=1</t>
  </si>
  <si>
    <t>Laskettu vuotuinen jätemäärä toimistolla</t>
  </si>
  <si>
    <t>kg/vuosi/toimisto</t>
  </si>
  <si>
    <t>* Säännöllinen toiminta otettu huomioon, oletuksella 1 käyntikerta = 0,25 työpäivää = 0,001 htv</t>
  </si>
  <si>
    <t>Oletettu, että tekstiili- ja puujätettä ei synny, eikä vaarallisia kemikaaleja ja sähkölaitteita ja akkuja. Nämä osuudet on kohdennettu paperille.</t>
  </si>
  <si>
    <t xml:space="preserve">Oletus toimistojätteen koostumukselle: </t>
  </si>
  <si>
    <t>Vuotuinen jätemäärä [kg/a]</t>
  </si>
  <si>
    <t>Biojäte</t>
  </si>
  <si>
    <t>Sekalaiset jätteet</t>
  </si>
  <si>
    <t>Muovi</t>
  </si>
  <si>
    <t>Paperi</t>
  </si>
  <si>
    <t>Kartonki ja pahvi</t>
  </si>
  <si>
    <t>Tekstiilit ja jalkineet</t>
  </si>
  <si>
    <t>Lasi</t>
  </si>
  <si>
    <t>Metalli</t>
  </si>
  <si>
    <t>Puu</t>
  </si>
  <si>
    <t>Sähkölaitteet ja akut</t>
  </si>
  <si>
    <t>Vaaralliset kemikaalit</t>
  </si>
  <si>
    <t>Kotitalouksien sekajätteen koostumus</t>
  </si>
  <si>
    <t>ei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</si>
</sst>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64" formatCode="_-* #,##0.00_-;\-* #,##0.00_-;_-* &quot;-&quot;??_-;_-@_-"/>
    <numFmt numFmtId="165" formatCode="_-* #,##0_-;\-* #,##0_-;_-* &quot;-&quot;??_-;_-@_-"/>
    <numFmt numFmtId="166" formatCode="#,##0.0"/>
    <numFmt numFmtId="167" formatCode="0.0"/>
    <numFmt numFmtId="168" formatCode="0.000"/>
    <numFmt numFmtId="169" formatCode="_-* #,##0.0\ _€_-;\-* #,##0.0\ _€_-;_-* &quot;-&quot;?????\ _€_-;_-@_-"/>
    <numFmt numFmtId="170" formatCode="_-* #,##0.00\ _€_-;\-* #,##0.00\ _€_-;_-* &quot;-&quot;??\ _€_-;_-@_-"/>
    <numFmt numFmtId="171" formatCode="0.00000"/>
    <numFmt numFmtId="172" formatCode="0.000000"/>
    <numFmt numFmtId="173" formatCode="0.0000\ %"/>
    <numFmt numFmtId="174" formatCode="_-* #,##0.00\ _€_-;\-* #,##0.00\ _€_-;_-* &quot;-&quot;???\ _€_-;_-@_-"/>
    <numFmt numFmtId="175" formatCode="0.0000"/>
    <numFmt numFmtId="176" formatCode="#,##0.00\ &quot;€&quot;"/>
  </numFmts>
  <fonts count="86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rgb="FFFFFFFF"/>
      <name val="Arial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  <scheme val="minor"/>
    </font>
    <font>
      <sz val="11"/>
      <color rgb="FF000000"/>
      <name val="Arial"/>
      <family val="2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name val="Calibri"/>
      <family val="2"/>
    </font>
    <font>
      <sz val="12"/>
      <name val="Calibri"/>
      <family val="2"/>
    </font>
    <font>
      <sz val="9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2"/>
      <color rgb="FF000000"/>
      <name val="Calibri"/>
      <family val="2"/>
    </font>
    <font>
      <sz val="16"/>
      <color theme="1"/>
      <name val="Calibri"/>
      <family val="2"/>
      <scheme val="minor"/>
    </font>
    <font>
      <u/>
      <sz val="10"/>
      <color rgb="FF1155CC"/>
      <name val="Arial"/>
      <family val="2"/>
    </font>
    <font>
      <sz val="10"/>
      <color rgb="FF000000"/>
      <name val="Calibri"/>
      <family val="2"/>
    </font>
    <font>
      <sz val="11"/>
      <color rgb="FF000000"/>
      <name val="Calibri"/>
      <family val="2"/>
    </font>
    <font>
      <sz val="10"/>
      <color theme="1"/>
      <name val="Calibri"/>
      <family val="2"/>
    </font>
    <font>
      <sz val="12"/>
      <color theme="0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0"/>
      <color rgb="FFFFFFFF"/>
      <name val="Calibri"/>
      <family val="2"/>
    </font>
    <font>
      <b/>
      <sz val="10"/>
      <color rgb="FF000000"/>
      <name val="Calibri"/>
      <family val="2"/>
    </font>
    <font>
      <b/>
      <sz val="14"/>
      <name val="Calibri"/>
      <family val="2"/>
    </font>
    <font>
      <b/>
      <sz val="14"/>
      <color rgb="FF000000"/>
      <name val="Calibri"/>
      <family val="2"/>
    </font>
    <font>
      <b/>
      <sz val="12"/>
      <color rgb="FF000000"/>
      <name val="Calibri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1"/>
      <color rgb="FF000000"/>
      <name val="Inconsolata"/>
    </font>
    <font>
      <u/>
      <sz val="10"/>
      <color theme="1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1"/>
      <color rgb="FF000000"/>
      <name val="Arial"/>
      <family val="2"/>
    </font>
    <font>
      <b/>
      <sz val="11"/>
      <color theme="0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Calibri"/>
      <family val="2"/>
      <scheme val="minor"/>
    </font>
    <font>
      <b/>
      <sz val="12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0"/>
      <color rgb="FFFFFFFF"/>
      <name val="Calibri"/>
      <family val="2"/>
      <scheme val="minor"/>
    </font>
    <font>
      <u/>
      <sz val="10"/>
      <color rgb="FF1155CC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0"/>
      <name val="Calibri"/>
      <family val="2"/>
    </font>
    <font>
      <sz val="11"/>
      <color rgb="FF323338"/>
      <name val="Calibri"/>
      <family val="2"/>
      <scheme val="minor"/>
    </font>
    <font>
      <b/>
      <sz val="20"/>
      <color theme="1"/>
      <name val="Source Sans Pro"/>
      <family val="2"/>
    </font>
    <font>
      <sz val="18"/>
      <color theme="1"/>
      <name val="Source Sans Pro"/>
      <family val="2"/>
    </font>
    <font>
      <sz val="11"/>
      <color theme="1"/>
      <name val="Source Sans Pro"/>
      <family val="2"/>
    </font>
    <font>
      <sz val="16"/>
      <color theme="1"/>
      <name val="Source Sans Pro"/>
      <family val="2"/>
    </font>
    <font>
      <b/>
      <sz val="20"/>
      <color theme="0"/>
      <name val="Source Sans Pro"/>
      <family val="2"/>
    </font>
    <font>
      <sz val="20"/>
      <color theme="1"/>
      <name val="Source Sans Pro"/>
      <family val="2"/>
    </font>
    <font>
      <b/>
      <sz val="18"/>
      <color theme="1"/>
      <name val="Source Sans Pro"/>
      <family val="2"/>
    </font>
    <font>
      <sz val="14"/>
      <color theme="1"/>
      <name val="Source Sans Pro"/>
      <family val="2"/>
    </font>
    <font>
      <sz val="14"/>
      <color rgb="FF3F3F76"/>
      <name val="Source Sans Pro"/>
      <family val="2"/>
    </font>
    <font>
      <b/>
      <sz val="18"/>
      <color rgb="FFBF0171"/>
      <name val="Source Sans Pro"/>
      <family val="2"/>
    </font>
    <font>
      <b/>
      <sz val="14"/>
      <color theme="1"/>
      <name val="Source Sans Pro"/>
      <family val="2"/>
    </font>
    <font>
      <b/>
      <sz val="11"/>
      <color theme="1"/>
      <name val="Source Sans Pro"/>
      <family val="2"/>
    </font>
    <font>
      <b/>
      <sz val="11"/>
      <color theme="0"/>
      <name val="Source Sans Pro"/>
      <family val="2"/>
    </font>
    <font>
      <b/>
      <sz val="14"/>
      <color rgb="FFBF0171"/>
      <name val="Source Sans Pro"/>
      <family val="2"/>
    </font>
    <font>
      <b/>
      <sz val="12"/>
      <color theme="1"/>
      <name val="Source Sans Pro"/>
      <family val="2"/>
    </font>
    <font>
      <b/>
      <sz val="14"/>
      <color theme="0"/>
      <name val="Source Sans Pro"/>
      <family val="2"/>
    </font>
    <font>
      <sz val="12"/>
      <color theme="1"/>
      <name val="Source Sans Pro"/>
      <family val="2"/>
    </font>
    <font>
      <sz val="11"/>
      <name val="Source Sans Pro"/>
      <family val="2"/>
    </font>
    <font>
      <b/>
      <sz val="18"/>
      <color theme="9"/>
      <name val="Source Sans Pro"/>
      <family val="2"/>
    </font>
    <font>
      <b/>
      <sz val="16"/>
      <color theme="9"/>
      <name val="Source Sans Pro"/>
      <family val="2"/>
    </font>
    <font>
      <b/>
      <sz val="14"/>
      <color theme="9"/>
      <name val="Source Sans Pro"/>
      <family val="2"/>
    </font>
    <font>
      <b/>
      <sz val="18"/>
      <name val="Source Sans Pro"/>
      <family val="2"/>
    </font>
    <font>
      <sz val="14"/>
      <color rgb="FF000000"/>
      <name val="Source Sans Pro"/>
      <family val="2"/>
    </font>
    <font>
      <b/>
      <sz val="20"/>
      <color rgb="FF000000"/>
      <name val="Source Sans Pro"/>
      <family val="2"/>
    </font>
    <font>
      <sz val="18"/>
      <color rgb="FF000000"/>
      <name val="Source Sans Pro"/>
      <family val="2"/>
    </font>
    <font>
      <b/>
      <u/>
      <sz val="18"/>
      <color rgb="FF000000"/>
      <name val="Source Sans Pro"/>
      <family val="2"/>
    </font>
    <font>
      <b/>
      <u/>
      <sz val="18"/>
      <color rgb="FFF0E005"/>
      <name val="Source Sans Pro"/>
      <family val="2"/>
    </font>
    <font>
      <b/>
      <sz val="18"/>
      <color rgb="FF000000"/>
      <name val="Source Sans Pro"/>
      <family val="2"/>
    </font>
    <font>
      <b/>
      <sz val="18"/>
      <color theme="0"/>
      <name val="Calibri"/>
      <family val="2"/>
      <scheme val="minor"/>
    </font>
    <font>
      <b/>
      <sz val="16"/>
      <color theme="0"/>
      <name val="Calibri"/>
      <family val="2"/>
    </font>
    <font>
      <b/>
      <sz val="9"/>
      <color theme="0"/>
      <name val="Arial"/>
      <family val="2"/>
    </font>
    <font>
      <b/>
      <sz val="12"/>
      <name val="Source Sans Pro"/>
      <family val="2"/>
    </font>
    <font>
      <b/>
      <u/>
      <sz val="12"/>
      <color theme="9"/>
      <name val="Source Sans Pro"/>
      <family val="2"/>
    </font>
  </fonts>
  <fills count="21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2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000000"/>
      </patternFill>
    </fill>
    <fill>
      <patternFill patternType="solid">
        <fgColor rgb="FF548133"/>
        <bgColor rgb="FF000000"/>
      </patternFill>
    </fill>
    <fill>
      <patternFill patternType="solid">
        <fgColor rgb="FFA8D08D"/>
        <bgColor rgb="FFA8D08D"/>
      </patternFill>
    </fill>
    <fill>
      <patternFill patternType="solid">
        <fgColor rgb="FF548135"/>
        <bgColor rgb="FF548135"/>
      </patternFill>
    </fill>
    <fill>
      <patternFill patternType="solid">
        <fgColor rgb="FF548134"/>
        <bgColor rgb="FF000000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BF017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/>
        <bgColor rgb="FF548135"/>
      </patternFill>
    </fill>
    <fill>
      <patternFill patternType="solid">
        <fgColor theme="2"/>
        <bgColor theme="7"/>
      </patternFill>
    </fill>
    <fill>
      <patternFill patternType="solid">
        <fgColor theme="2"/>
        <bgColor rgb="FF34A853"/>
      </patternFill>
    </fill>
    <fill>
      <patternFill patternType="solid">
        <fgColor theme="2"/>
        <bgColor rgb="FF000000"/>
      </patternFill>
    </fill>
    <fill>
      <patternFill patternType="solid">
        <fgColor theme="2"/>
        <bgColor theme="5"/>
      </patternFill>
    </fill>
  </fills>
  <borders count="2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medium">
        <color theme="1"/>
      </right>
      <top/>
      <bottom style="medium">
        <color theme="1"/>
      </bottom>
      <diagonal/>
    </border>
    <border>
      <left style="thin">
        <color theme="1"/>
      </left>
      <right style="thin">
        <color theme="1"/>
      </right>
      <top/>
      <bottom style="medium">
        <color theme="1"/>
      </bottom>
      <diagonal/>
    </border>
    <border>
      <left style="medium">
        <color theme="1"/>
      </left>
      <right style="thin">
        <color theme="1"/>
      </right>
      <top/>
      <bottom style="medium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double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double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double">
        <color theme="1"/>
      </bottom>
      <diagonal/>
    </border>
    <border>
      <left style="thin">
        <color theme="1"/>
      </left>
      <right style="medium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medium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medium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medium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theme="1"/>
      </right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theme="1"/>
      </left>
      <right style="medium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indexed="64"/>
      </left>
      <right/>
      <top style="thin">
        <color indexed="64"/>
      </top>
      <bottom style="medium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/>
      <right style="thin">
        <color indexed="64"/>
      </right>
      <top/>
      <bottom style="medium">
        <color theme="1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double">
        <color theme="1"/>
      </top>
      <bottom style="double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0"/>
      </left>
      <right style="medium">
        <color theme="1"/>
      </right>
      <top style="medium">
        <color theme="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theme="1"/>
      </top>
      <bottom style="thin">
        <color theme="0"/>
      </bottom>
      <diagonal/>
    </border>
    <border>
      <left style="medium">
        <color theme="1"/>
      </left>
      <right style="thin">
        <color theme="0"/>
      </right>
      <top style="medium">
        <color theme="1"/>
      </top>
      <bottom style="thin">
        <color theme="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/>
      <top style="medium">
        <color theme="1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medium">
        <color theme="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hair">
        <color rgb="FF5F9BC7"/>
      </right>
      <top/>
      <bottom/>
      <diagonal/>
    </border>
    <border>
      <left/>
      <right style="hair">
        <color rgb="FF5F9BC7"/>
      </right>
      <top/>
      <bottom style="hair">
        <color rgb="FF5F9BC7"/>
      </bottom>
      <diagonal/>
    </border>
    <border>
      <left/>
      <right/>
      <top/>
      <bottom style="hair">
        <color rgb="FF5F9BC7"/>
      </bottom>
      <diagonal/>
    </border>
    <border>
      <left style="medium">
        <color rgb="FF70706F"/>
      </left>
      <right style="medium">
        <color rgb="FF70706F"/>
      </right>
      <top style="medium">
        <color rgb="FF70706F"/>
      </top>
      <bottom style="medium">
        <color rgb="FF70706F"/>
      </bottom>
      <diagonal/>
    </border>
    <border>
      <left style="medium">
        <color rgb="FF70706F"/>
      </left>
      <right/>
      <top style="medium">
        <color rgb="FF70706F"/>
      </top>
      <bottom style="medium">
        <color rgb="FF70706F"/>
      </bottom>
      <diagonal/>
    </border>
    <border>
      <left/>
      <right/>
      <top style="medium">
        <color rgb="FF70706F"/>
      </top>
      <bottom style="medium">
        <color rgb="FF70706F"/>
      </bottom>
      <diagonal/>
    </border>
    <border>
      <left/>
      <right style="medium">
        <color rgb="FF70706F"/>
      </right>
      <top style="medium">
        <color rgb="FF70706F"/>
      </top>
      <bottom style="medium">
        <color rgb="FF70706F"/>
      </bottom>
      <diagonal/>
    </border>
    <border>
      <left style="medium">
        <color rgb="FF70706F"/>
      </left>
      <right/>
      <top style="medium">
        <color rgb="FF70706F"/>
      </top>
      <bottom/>
      <diagonal/>
    </border>
    <border>
      <left style="medium">
        <color rgb="FF70706F"/>
      </left>
      <right style="medium">
        <color rgb="FF70706F"/>
      </right>
      <top style="thin">
        <color indexed="64"/>
      </top>
      <bottom style="thin">
        <color indexed="64"/>
      </bottom>
      <diagonal/>
    </border>
    <border>
      <left style="medium">
        <color rgb="FF70706F"/>
      </left>
      <right style="medium">
        <color rgb="FF70706F"/>
      </right>
      <top/>
      <bottom style="thin">
        <color indexed="64"/>
      </bottom>
      <diagonal/>
    </border>
    <border>
      <left/>
      <right style="medium">
        <color rgb="FF70706F"/>
      </right>
      <top/>
      <bottom style="thin">
        <color indexed="64"/>
      </bottom>
      <diagonal/>
    </border>
    <border>
      <left/>
      <right style="medium">
        <color rgb="FF70706F"/>
      </right>
      <top style="thin">
        <color indexed="64"/>
      </top>
      <bottom style="thin">
        <color indexed="64"/>
      </bottom>
      <diagonal/>
    </border>
    <border>
      <left style="medium">
        <color rgb="FF70706F"/>
      </left>
      <right style="medium">
        <color rgb="FF70706F"/>
      </right>
      <top style="medium">
        <color rgb="FF70706F"/>
      </top>
      <bottom/>
      <diagonal/>
    </border>
    <border>
      <left style="medium">
        <color rgb="FF70706F"/>
      </left>
      <right style="medium">
        <color rgb="FF70706F"/>
      </right>
      <top/>
      <bottom/>
      <diagonal/>
    </border>
    <border>
      <left style="medium">
        <color rgb="FF70706F"/>
      </left>
      <right style="medium">
        <color rgb="FF70706F"/>
      </right>
      <top/>
      <bottom style="medium">
        <color rgb="FF70706F"/>
      </bottom>
      <diagonal/>
    </border>
    <border>
      <left/>
      <right style="medium">
        <color rgb="FF70706F"/>
      </right>
      <top style="medium">
        <color rgb="FF70706F"/>
      </top>
      <bottom/>
      <diagonal/>
    </border>
    <border>
      <left/>
      <right style="medium">
        <color rgb="FF70706F"/>
      </right>
      <top style="dotted">
        <color indexed="64"/>
      </top>
      <bottom/>
      <diagonal/>
    </border>
    <border>
      <left/>
      <right style="medium">
        <color rgb="FF70706F"/>
      </right>
      <top style="dotted">
        <color indexed="64"/>
      </top>
      <bottom style="medium">
        <color rgb="FF70706F"/>
      </bottom>
      <diagonal/>
    </border>
    <border>
      <left/>
      <right style="medium">
        <color rgb="FF70706F"/>
      </right>
      <top/>
      <bottom/>
      <diagonal/>
    </border>
    <border>
      <left/>
      <right style="medium">
        <color rgb="FF70706F"/>
      </right>
      <top/>
      <bottom style="medium">
        <color rgb="FF70706F"/>
      </bottom>
      <diagonal/>
    </border>
    <border>
      <left/>
      <right style="medium">
        <color rgb="FF70706F"/>
      </right>
      <top style="medium">
        <color rgb="FF70706F"/>
      </top>
      <bottom style="dotted">
        <color indexed="64"/>
      </bottom>
      <diagonal/>
    </border>
    <border>
      <left/>
      <right style="medium">
        <color rgb="FF70706F"/>
      </right>
      <top/>
      <bottom style="dotted">
        <color indexed="64"/>
      </bottom>
      <diagonal/>
    </border>
    <border>
      <left/>
      <right style="medium">
        <color rgb="FF70706F"/>
      </right>
      <top style="dotted">
        <color indexed="64"/>
      </top>
      <bottom style="dotted">
        <color indexed="64"/>
      </bottom>
      <diagonal/>
    </border>
    <border>
      <left style="medium">
        <color rgb="FF70706F"/>
      </left>
      <right/>
      <top/>
      <bottom/>
      <diagonal/>
    </border>
    <border>
      <left style="medium">
        <color rgb="FF70706F"/>
      </left>
      <right/>
      <top/>
      <bottom style="medium">
        <color rgb="FF70706F"/>
      </bottom>
      <diagonal/>
    </border>
    <border>
      <left/>
      <right/>
      <top style="medium">
        <color rgb="FF70706F"/>
      </top>
      <bottom/>
      <diagonal/>
    </border>
    <border>
      <left/>
      <right/>
      <top/>
      <bottom style="medium">
        <color rgb="FF70706F"/>
      </bottom>
      <diagonal/>
    </border>
    <border>
      <left style="medium">
        <color rgb="FF70706F"/>
      </left>
      <right style="medium">
        <color rgb="FF70706F"/>
      </right>
      <top/>
      <bottom style="hair">
        <color indexed="64"/>
      </bottom>
      <diagonal/>
    </border>
    <border>
      <left style="medium">
        <color rgb="FF70706F"/>
      </left>
      <right style="medium">
        <color rgb="FF70706F"/>
      </right>
      <top style="hair">
        <color indexed="64"/>
      </top>
      <bottom style="hair">
        <color indexed="64"/>
      </bottom>
      <diagonal/>
    </border>
    <border>
      <left/>
      <right style="medium">
        <color rgb="FF70706F"/>
      </right>
      <top style="hair">
        <color indexed="64"/>
      </top>
      <bottom style="hair">
        <color indexed="64"/>
      </bottom>
      <diagonal/>
    </border>
    <border>
      <left style="medium">
        <color rgb="FF70706F"/>
      </left>
      <right style="medium">
        <color rgb="FF70706F"/>
      </right>
      <top style="hair">
        <color indexed="64"/>
      </top>
      <bottom style="double">
        <color rgb="FF70706F"/>
      </bottom>
      <diagonal/>
    </border>
    <border>
      <left/>
      <right style="medium">
        <color rgb="FF70706F"/>
      </right>
      <top style="hair">
        <color indexed="64"/>
      </top>
      <bottom style="double">
        <color rgb="FF70706F"/>
      </bottom>
      <diagonal/>
    </border>
    <border>
      <left style="medium">
        <color indexed="64"/>
      </left>
      <right style="thin">
        <color theme="0"/>
      </right>
      <top style="medium">
        <color indexed="64"/>
      </top>
      <bottom/>
      <diagonal/>
    </border>
    <border>
      <left style="thin">
        <color theme="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70706F"/>
      </left>
      <right style="thin">
        <color indexed="64"/>
      </right>
      <top style="medium">
        <color rgb="FF70706F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70706F"/>
      </top>
      <bottom style="thin">
        <color indexed="64"/>
      </bottom>
      <diagonal/>
    </border>
    <border>
      <left style="thin">
        <color indexed="64"/>
      </left>
      <right style="medium">
        <color rgb="FF70706F"/>
      </right>
      <top style="medium">
        <color rgb="FF70706F"/>
      </top>
      <bottom style="thin">
        <color indexed="64"/>
      </bottom>
      <diagonal/>
    </border>
    <border>
      <left style="medium">
        <color rgb="FF70706F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70706F"/>
      </right>
      <top style="thin">
        <color indexed="64"/>
      </top>
      <bottom style="thin">
        <color indexed="64"/>
      </bottom>
      <diagonal/>
    </border>
    <border>
      <left style="medium">
        <color rgb="FF70706F"/>
      </left>
      <right style="thin">
        <color indexed="64"/>
      </right>
      <top style="thin">
        <color indexed="64"/>
      </top>
      <bottom style="medium">
        <color rgb="FF70706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70706F"/>
      </bottom>
      <diagonal/>
    </border>
    <border>
      <left style="thin">
        <color indexed="64"/>
      </left>
      <right style="medium">
        <color rgb="FF70706F"/>
      </right>
      <top style="thin">
        <color indexed="64"/>
      </top>
      <bottom style="medium">
        <color rgb="FF70706F"/>
      </bottom>
      <diagonal/>
    </border>
    <border>
      <left style="medium">
        <color rgb="FF70706F"/>
      </left>
      <right style="medium">
        <color rgb="FF70706F"/>
      </right>
      <top style="medium">
        <color rgb="FF70706F"/>
      </top>
      <bottom style="dotted">
        <color indexed="64"/>
      </bottom>
      <diagonal/>
    </border>
    <border>
      <left style="medium">
        <color rgb="FF70706F"/>
      </left>
      <right style="medium">
        <color rgb="FF70706F"/>
      </right>
      <top style="dotted">
        <color indexed="64"/>
      </top>
      <bottom style="dotted">
        <color indexed="64"/>
      </bottom>
      <diagonal/>
    </border>
    <border>
      <left style="medium">
        <color rgb="FF70706F"/>
      </left>
      <right style="medium">
        <color rgb="FF70706F"/>
      </right>
      <top style="dotted">
        <color indexed="64"/>
      </top>
      <bottom style="medium">
        <color rgb="FF70706F"/>
      </bottom>
      <diagonal/>
    </border>
    <border>
      <left style="thin">
        <color rgb="FF70706F"/>
      </left>
      <right style="thin">
        <color rgb="FF70706F"/>
      </right>
      <top style="thin">
        <color rgb="FF70706F"/>
      </top>
      <bottom style="thin">
        <color rgb="FF70706F"/>
      </bottom>
      <diagonal/>
    </border>
    <border>
      <left style="medium">
        <color rgb="FF70706F"/>
      </left>
      <right style="thin">
        <color indexed="64"/>
      </right>
      <top style="medium">
        <color rgb="FF70706F"/>
      </top>
      <bottom style="medium">
        <color rgb="FF70706F"/>
      </bottom>
      <diagonal/>
    </border>
    <border>
      <left style="thin">
        <color indexed="64"/>
      </left>
      <right style="thin">
        <color indexed="64"/>
      </right>
      <top style="medium">
        <color rgb="FF70706F"/>
      </top>
      <bottom style="medium">
        <color rgb="FF70706F"/>
      </bottom>
      <diagonal/>
    </border>
    <border>
      <left style="thin">
        <color indexed="64"/>
      </left>
      <right style="medium">
        <color rgb="FF70706F"/>
      </right>
      <top style="medium">
        <color rgb="FF70706F"/>
      </top>
      <bottom style="medium">
        <color rgb="FF70706F"/>
      </bottom>
      <diagonal/>
    </border>
    <border>
      <left style="medium">
        <color rgb="FF70706F"/>
      </left>
      <right style="thin">
        <color rgb="FF70706F"/>
      </right>
      <top style="thin">
        <color rgb="FF70706F"/>
      </top>
      <bottom style="thin">
        <color rgb="FF70706F"/>
      </bottom>
      <diagonal/>
    </border>
    <border>
      <left style="thin">
        <color rgb="FF70706F"/>
      </left>
      <right style="medium">
        <color rgb="FF70706F"/>
      </right>
      <top style="thin">
        <color rgb="FF70706F"/>
      </top>
      <bottom style="thin">
        <color rgb="FF70706F"/>
      </bottom>
      <diagonal/>
    </border>
    <border>
      <left style="medium">
        <color rgb="FF70706F"/>
      </left>
      <right style="thin">
        <color indexed="64"/>
      </right>
      <top style="medium">
        <color rgb="FF70706F"/>
      </top>
      <bottom/>
      <diagonal/>
    </border>
    <border>
      <left style="thin">
        <color indexed="64"/>
      </left>
      <right style="thin">
        <color indexed="64"/>
      </right>
      <top style="medium">
        <color rgb="FF70706F"/>
      </top>
      <bottom/>
      <diagonal/>
    </border>
    <border>
      <left style="thin">
        <color indexed="64"/>
      </left>
      <right style="medium">
        <color rgb="FF70706F"/>
      </right>
      <top style="medium">
        <color rgb="FF70706F"/>
      </top>
      <bottom/>
      <diagonal/>
    </border>
    <border>
      <left style="medium">
        <color rgb="FF70706F"/>
      </left>
      <right style="thin">
        <color rgb="FF70706F"/>
      </right>
      <top style="medium">
        <color rgb="FF70706F"/>
      </top>
      <bottom style="thin">
        <color rgb="FF70706F"/>
      </bottom>
      <diagonal/>
    </border>
    <border>
      <left style="thin">
        <color rgb="FF70706F"/>
      </left>
      <right style="thin">
        <color rgb="FF70706F"/>
      </right>
      <top style="medium">
        <color rgb="FF70706F"/>
      </top>
      <bottom style="thin">
        <color rgb="FF70706F"/>
      </bottom>
      <diagonal/>
    </border>
    <border>
      <left style="thin">
        <color rgb="FF70706F"/>
      </left>
      <right style="medium">
        <color rgb="FF70706F"/>
      </right>
      <top style="medium">
        <color rgb="FF70706F"/>
      </top>
      <bottom style="thin">
        <color rgb="FF70706F"/>
      </bottom>
      <diagonal/>
    </border>
    <border>
      <left style="medium">
        <color rgb="FF70706F"/>
      </left>
      <right style="thin">
        <color rgb="FF70706F"/>
      </right>
      <top style="thin">
        <color rgb="FF70706F"/>
      </top>
      <bottom style="medium">
        <color rgb="FF70706F"/>
      </bottom>
      <diagonal/>
    </border>
    <border>
      <left style="thin">
        <color rgb="FF70706F"/>
      </left>
      <right style="thin">
        <color rgb="FF70706F"/>
      </right>
      <top style="thin">
        <color rgb="FF70706F"/>
      </top>
      <bottom style="medium">
        <color rgb="FF70706F"/>
      </bottom>
      <diagonal/>
    </border>
    <border>
      <left style="thin">
        <color rgb="FF70706F"/>
      </left>
      <right style="medium">
        <color rgb="FF70706F"/>
      </right>
      <top style="thin">
        <color rgb="FF70706F"/>
      </top>
      <bottom style="medium">
        <color rgb="FF70706F"/>
      </bottom>
      <diagonal/>
    </border>
    <border>
      <left style="medium">
        <color rgb="FF70706F"/>
      </left>
      <right style="thin">
        <color indexed="64"/>
      </right>
      <top/>
      <bottom/>
      <diagonal/>
    </border>
    <border>
      <left style="thin">
        <color indexed="64"/>
      </left>
      <right style="medium">
        <color rgb="FF70706F"/>
      </right>
      <top style="thin">
        <color indexed="64"/>
      </top>
      <bottom/>
      <diagonal/>
    </border>
    <border>
      <left style="medium">
        <color rgb="FF70706F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medium">
        <color rgb="FF70706F"/>
      </right>
      <top/>
      <bottom style="thin">
        <color theme="1"/>
      </bottom>
      <diagonal/>
    </border>
    <border>
      <left style="medium">
        <color rgb="FF70706F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rgb="FF70706F"/>
      </right>
      <top style="thin">
        <color theme="1"/>
      </top>
      <bottom style="thin">
        <color theme="1"/>
      </bottom>
      <diagonal/>
    </border>
    <border>
      <left style="medium">
        <color rgb="FF70706F"/>
      </left>
      <right style="thin">
        <color theme="1"/>
      </right>
      <top style="thin">
        <color theme="1"/>
      </top>
      <bottom style="medium">
        <color rgb="FF70706F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rgb="FF70706F"/>
      </bottom>
      <diagonal/>
    </border>
    <border>
      <left style="thin">
        <color theme="1"/>
      </left>
      <right style="medium">
        <color rgb="FF70706F"/>
      </right>
      <top style="thin">
        <color theme="1"/>
      </top>
      <bottom style="medium">
        <color rgb="FF70706F"/>
      </bottom>
      <diagonal/>
    </border>
    <border>
      <left style="medium">
        <color rgb="FF70706F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medium">
        <color rgb="FF70706F"/>
      </right>
      <top style="thin">
        <color theme="1"/>
      </top>
      <bottom/>
      <diagonal/>
    </border>
    <border>
      <left style="medium">
        <color rgb="FF70706F"/>
      </left>
      <right style="thin">
        <color theme="1"/>
      </right>
      <top/>
      <bottom/>
      <diagonal/>
    </border>
    <border>
      <left style="thin">
        <color theme="1"/>
      </left>
      <right style="medium">
        <color rgb="FF70706F"/>
      </right>
      <top/>
      <bottom/>
      <diagonal/>
    </border>
    <border>
      <left style="medium">
        <color rgb="FF70706F"/>
      </left>
      <right style="thin">
        <color theme="1"/>
      </right>
      <top/>
      <bottom style="medium">
        <color rgb="FF70706F"/>
      </bottom>
      <diagonal/>
    </border>
    <border>
      <left style="thin">
        <color theme="1"/>
      </left>
      <right style="thin">
        <color theme="1"/>
      </right>
      <top/>
      <bottom style="medium">
        <color rgb="FF70706F"/>
      </bottom>
      <diagonal/>
    </border>
    <border>
      <left style="thin">
        <color theme="1"/>
      </left>
      <right style="medium">
        <color rgb="FF70706F"/>
      </right>
      <top/>
      <bottom style="medium">
        <color rgb="FF70706F"/>
      </bottom>
      <diagonal/>
    </border>
    <border>
      <left style="medium">
        <color rgb="FF70706F"/>
      </left>
      <right style="thin">
        <color rgb="FF70706F"/>
      </right>
      <top style="medium">
        <color rgb="FF70706F"/>
      </top>
      <bottom style="medium">
        <color rgb="FF70706F"/>
      </bottom>
      <diagonal/>
    </border>
    <border>
      <left style="thin">
        <color rgb="FF70706F"/>
      </left>
      <right style="thin">
        <color rgb="FF70706F"/>
      </right>
      <top style="medium">
        <color rgb="FF70706F"/>
      </top>
      <bottom style="medium">
        <color rgb="FF70706F"/>
      </bottom>
      <diagonal/>
    </border>
    <border>
      <left style="thin">
        <color rgb="FF70706F"/>
      </left>
      <right style="medium">
        <color rgb="FF70706F"/>
      </right>
      <top style="medium">
        <color rgb="FF70706F"/>
      </top>
      <bottom style="medium">
        <color rgb="FF70706F"/>
      </bottom>
      <diagonal/>
    </border>
    <border>
      <left style="medium">
        <color rgb="FF70706F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rgb="FF70706F"/>
      </right>
      <top/>
      <bottom style="thin">
        <color indexed="64"/>
      </bottom>
      <diagonal/>
    </border>
    <border>
      <left style="medium">
        <color rgb="FF70706F"/>
      </left>
      <right style="thin">
        <color theme="0"/>
      </right>
      <top style="medium">
        <color rgb="FF70706F"/>
      </top>
      <bottom style="medium">
        <color rgb="FF70706F"/>
      </bottom>
      <diagonal/>
    </border>
    <border>
      <left style="thin">
        <color theme="0"/>
      </left>
      <right style="thin">
        <color theme="0"/>
      </right>
      <top style="medium">
        <color rgb="FF70706F"/>
      </top>
      <bottom style="medium">
        <color rgb="FF70706F"/>
      </bottom>
      <diagonal/>
    </border>
    <border>
      <left style="thin">
        <color theme="0"/>
      </left>
      <right style="medium">
        <color rgb="FF70706F"/>
      </right>
      <top style="medium">
        <color rgb="FF70706F"/>
      </top>
      <bottom style="medium">
        <color rgb="FF70706F"/>
      </bottom>
      <diagonal/>
    </border>
    <border>
      <left style="medium">
        <color rgb="FF70706F"/>
      </left>
      <right/>
      <top/>
      <bottom style="double">
        <color indexed="64"/>
      </bottom>
      <diagonal/>
    </border>
    <border>
      <left/>
      <right style="medium">
        <color rgb="FF70706F"/>
      </right>
      <top/>
      <bottom style="double">
        <color indexed="64"/>
      </bottom>
      <diagonal/>
    </border>
    <border>
      <left style="medium">
        <color rgb="FF70706F"/>
      </left>
      <right style="thin">
        <color theme="1"/>
      </right>
      <top style="medium">
        <color rgb="FF70706F"/>
      </top>
      <bottom style="medium">
        <color rgb="FF70706F"/>
      </bottom>
      <diagonal/>
    </border>
    <border>
      <left style="thin">
        <color theme="1"/>
      </left>
      <right style="thin">
        <color theme="1"/>
      </right>
      <top style="medium">
        <color rgb="FF70706F"/>
      </top>
      <bottom style="medium">
        <color rgb="FF70706F"/>
      </bottom>
      <diagonal/>
    </border>
    <border>
      <left style="thin">
        <color theme="1"/>
      </left>
      <right style="medium">
        <color rgb="FF70706F"/>
      </right>
      <top style="medium">
        <color rgb="FF70706F"/>
      </top>
      <bottom style="medium">
        <color rgb="FF70706F"/>
      </bottom>
      <diagonal/>
    </border>
    <border>
      <left style="medium">
        <color theme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theme="1"/>
      </left>
      <right/>
      <top style="medium">
        <color rgb="FF70706F"/>
      </top>
      <bottom style="medium">
        <color rgb="FF70706F"/>
      </bottom>
      <diagonal/>
    </border>
    <border>
      <left style="medium">
        <color rgb="FF70706F"/>
      </left>
      <right style="thin">
        <color rgb="FF000000"/>
      </right>
      <top style="medium">
        <color rgb="FF70706F"/>
      </top>
      <bottom style="thin">
        <color rgb="FF000000"/>
      </bottom>
      <diagonal/>
    </border>
    <border>
      <left style="medium">
        <color rgb="FF70706F"/>
      </left>
      <right style="thin">
        <color theme="1"/>
      </right>
      <top style="medium">
        <color rgb="FF70706F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medium">
        <color rgb="FF70706F"/>
      </top>
      <bottom style="thin">
        <color theme="1"/>
      </bottom>
      <diagonal/>
    </border>
    <border>
      <left style="thin">
        <color theme="1"/>
      </left>
      <right style="medium">
        <color rgb="FF70706F"/>
      </right>
      <top style="medium">
        <color rgb="FF70706F"/>
      </top>
      <bottom style="thin">
        <color theme="1"/>
      </bottom>
      <diagonal/>
    </border>
    <border>
      <left style="medium">
        <color rgb="FF70706F"/>
      </left>
      <right style="thin">
        <color theme="1"/>
      </right>
      <top style="thin">
        <color theme="1"/>
      </top>
      <bottom style="double">
        <color theme="1"/>
      </bottom>
      <diagonal/>
    </border>
    <border>
      <left style="thin">
        <color theme="1"/>
      </left>
      <right style="medium">
        <color rgb="FF70706F"/>
      </right>
      <top style="thin">
        <color theme="1"/>
      </top>
      <bottom style="double">
        <color theme="1"/>
      </bottom>
      <diagonal/>
    </border>
    <border>
      <left style="medium">
        <color rgb="FF70706F"/>
      </left>
      <right style="thin">
        <color theme="0"/>
      </right>
      <top style="medium">
        <color rgb="FF70706F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rgb="FF70706F"/>
      </top>
      <bottom style="thin">
        <color theme="0"/>
      </bottom>
      <diagonal/>
    </border>
    <border>
      <left style="thin">
        <color theme="0"/>
      </left>
      <right style="medium">
        <color rgb="FF70706F"/>
      </right>
      <top style="medium">
        <color rgb="FF70706F"/>
      </top>
      <bottom style="thin">
        <color theme="0"/>
      </bottom>
      <diagonal/>
    </border>
    <border>
      <left style="medium">
        <color rgb="FF70706F"/>
      </left>
      <right style="thin">
        <color theme="1"/>
      </right>
      <top style="double">
        <color theme="1"/>
      </top>
      <bottom style="double">
        <color theme="1"/>
      </bottom>
      <diagonal/>
    </border>
    <border>
      <left style="thin">
        <color theme="1"/>
      </left>
      <right style="medium">
        <color rgb="FF70706F"/>
      </right>
      <top style="double">
        <color theme="1"/>
      </top>
      <bottom style="double">
        <color theme="1"/>
      </bottom>
      <diagonal/>
    </border>
    <border>
      <left style="medium">
        <color rgb="FF70706F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medium">
        <color rgb="FF70706F"/>
      </right>
      <top style="thin">
        <color theme="0"/>
      </top>
      <bottom/>
      <diagonal/>
    </border>
    <border>
      <left style="medium">
        <color theme="1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medium">
        <color theme="1"/>
      </right>
      <top style="thin">
        <color theme="0"/>
      </top>
      <bottom/>
      <diagonal/>
    </border>
    <border>
      <left style="medium">
        <color rgb="FF70706F"/>
      </left>
      <right style="thin">
        <color rgb="FFFFFFFF"/>
      </right>
      <top style="medium">
        <color rgb="FF70706F"/>
      </top>
      <bottom style="medium">
        <color rgb="FF70706F"/>
      </bottom>
      <diagonal/>
    </border>
    <border>
      <left/>
      <right style="thin">
        <color rgb="FFFFFFFF"/>
      </right>
      <top style="medium">
        <color rgb="FF70706F"/>
      </top>
      <bottom style="medium">
        <color rgb="FF70706F"/>
      </bottom>
      <diagonal/>
    </border>
    <border>
      <left style="thin">
        <color rgb="FFFFFFFF"/>
      </left>
      <right style="medium">
        <color rgb="FF70706F"/>
      </right>
      <top style="medium">
        <color rgb="FF70706F"/>
      </top>
      <bottom style="medium">
        <color rgb="FF70706F"/>
      </bottom>
      <diagonal/>
    </border>
    <border>
      <left style="medium">
        <color rgb="FF70706F"/>
      </left>
      <right style="thin">
        <color theme="1"/>
      </right>
      <top style="medium">
        <color rgb="FF70706F"/>
      </top>
      <bottom/>
      <diagonal/>
    </border>
    <border>
      <left style="thin">
        <color theme="1"/>
      </left>
      <right style="thin">
        <color theme="1"/>
      </right>
      <top style="medium">
        <color rgb="FF70706F"/>
      </top>
      <bottom/>
      <diagonal/>
    </border>
    <border>
      <left style="thin">
        <color theme="1"/>
      </left>
      <right style="medium">
        <color rgb="FF70706F"/>
      </right>
      <top style="medium">
        <color rgb="FF70706F"/>
      </top>
      <bottom/>
      <diagonal/>
    </border>
    <border>
      <left style="medium">
        <color rgb="FF70706F"/>
      </left>
      <right/>
      <top style="medium">
        <color rgb="FF70706F"/>
      </top>
      <bottom style="medium">
        <color indexed="64"/>
      </bottom>
      <diagonal/>
    </border>
    <border>
      <left/>
      <right style="medium">
        <color rgb="FF70706F"/>
      </right>
      <top style="medium">
        <color rgb="FF70706F"/>
      </top>
      <bottom style="medium">
        <color indexed="64"/>
      </bottom>
      <diagonal/>
    </border>
    <border>
      <left style="medium">
        <color rgb="FF70706F"/>
      </left>
      <right/>
      <top style="medium">
        <color indexed="64"/>
      </top>
      <bottom style="medium">
        <color rgb="FF70706F"/>
      </bottom>
      <diagonal/>
    </border>
    <border>
      <left/>
      <right style="medium">
        <color rgb="FF70706F"/>
      </right>
      <top style="medium">
        <color indexed="64"/>
      </top>
      <bottom style="medium">
        <color rgb="FF70706F"/>
      </bottom>
      <diagonal/>
    </border>
    <border>
      <left style="medium">
        <color rgb="FF70706F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70706F"/>
      </left>
      <right style="thin">
        <color rgb="FF70706F"/>
      </right>
      <top/>
      <bottom style="thin">
        <color rgb="FF70706F"/>
      </bottom>
      <diagonal/>
    </border>
    <border>
      <left style="medium">
        <color rgb="FF70706F"/>
      </left>
      <right style="thin">
        <color rgb="FF70706F"/>
      </right>
      <top/>
      <bottom style="thin">
        <color rgb="FF70706F"/>
      </bottom>
      <diagonal/>
    </border>
    <border>
      <left style="medium">
        <color rgb="FF70706F"/>
      </left>
      <right/>
      <top style="double">
        <color rgb="FF70706F"/>
      </top>
      <bottom style="medium">
        <color rgb="FF70706F"/>
      </bottom>
      <diagonal/>
    </border>
    <border>
      <left/>
      <right style="medium">
        <color rgb="FF70706F"/>
      </right>
      <top style="double">
        <color rgb="FF70706F"/>
      </top>
      <bottom style="medium">
        <color rgb="FF70706F"/>
      </bottom>
      <diagonal/>
    </border>
    <border>
      <left style="medium">
        <color rgb="FF70706F"/>
      </left>
      <right/>
      <top style="hair">
        <color indexed="64"/>
      </top>
      <bottom style="double">
        <color rgb="FF70706F"/>
      </bottom>
      <diagonal/>
    </border>
    <border>
      <left style="medium">
        <color rgb="FF70706F"/>
      </left>
      <right/>
      <top style="hair">
        <color indexed="64"/>
      </top>
      <bottom style="hair">
        <color indexed="64"/>
      </bottom>
      <diagonal/>
    </border>
    <border>
      <left style="medium">
        <color rgb="FF70706F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0706F"/>
      </left>
      <right style="medium">
        <color rgb="FF70706F"/>
      </right>
      <top/>
      <bottom/>
      <diagonal/>
    </border>
    <border>
      <left style="medium">
        <color rgb="FF70706F"/>
      </left>
      <right style="medium">
        <color rgb="FF70706F"/>
      </right>
      <top style="medium">
        <color rgb="FF70706F"/>
      </top>
      <bottom style="dotted">
        <color rgb="FF70706F"/>
      </bottom>
      <diagonal/>
    </border>
    <border>
      <left style="medium">
        <color rgb="FF70706F"/>
      </left>
      <right style="medium">
        <color rgb="FF70706F"/>
      </right>
      <top style="dotted">
        <color rgb="FF70706F"/>
      </top>
      <bottom style="dotted">
        <color rgb="FF70706F"/>
      </bottom>
      <diagonal/>
    </border>
    <border>
      <left style="medium">
        <color rgb="FF70706F"/>
      </left>
      <right style="medium">
        <color rgb="FF70706F"/>
      </right>
      <top style="medium">
        <color rgb="FF70706F"/>
      </top>
      <bottom style="double">
        <color rgb="FF70706F"/>
      </bottom>
      <diagonal/>
    </border>
    <border>
      <left style="medium">
        <color rgb="FF70706F"/>
      </left>
      <right style="medium">
        <color rgb="FF70706F"/>
      </right>
      <top style="dotted">
        <color rgb="FF70706F"/>
      </top>
      <bottom style="medium">
        <color rgb="FF70706F"/>
      </bottom>
      <diagonal/>
    </border>
    <border>
      <left style="medium">
        <color rgb="FF70706F"/>
      </left>
      <right style="medium">
        <color rgb="FF70706F"/>
      </right>
      <top style="dotted">
        <color rgb="FF70706F"/>
      </top>
      <bottom/>
      <diagonal/>
    </border>
    <border>
      <left/>
      <right style="medium">
        <color rgb="FF70706F"/>
      </right>
      <top style="medium">
        <color rgb="FF70706F"/>
      </top>
      <bottom style="dotted">
        <color rgb="FF70706F"/>
      </bottom>
      <diagonal/>
    </border>
    <border>
      <left/>
      <right style="medium">
        <color rgb="FF70706F"/>
      </right>
      <top style="dotted">
        <color rgb="FF70706F"/>
      </top>
      <bottom style="dotted">
        <color rgb="FF70706F"/>
      </bottom>
      <diagonal/>
    </border>
    <border>
      <left/>
      <right/>
      <top style="dotted">
        <color rgb="FF70706F"/>
      </top>
      <bottom style="dotted">
        <color rgb="FF70706F"/>
      </bottom>
      <diagonal/>
    </border>
    <border>
      <left style="thin">
        <color indexed="64"/>
      </left>
      <right style="medium">
        <color rgb="FF70706F"/>
      </right>
      <top/>
      <bottom/>
      <diagonal/>
    </border>
    <border>
      <left style="thin">
        <color indexed="64"/>
      </left>
      <right style="medium">
        <color rgb="FF70706F"/>
      </right>
      <top/>
      <bottom style="medium">
        <color rgb="FF70706F"/>
      </bottom>
      <diagonal/>
    </border>
    <border>
      <left style="thin">
        <color indexed="64"/>
      </left>
      <right/>
      <top style="dotted">
        <color rgb="FF70706F"/>
      </top>
      <bottom style="dotted">
        <color rgb="FF70706F"/>
      </bottom>
      <diagonal/>
    </border>
    <border>
      <left/>
      <right style="thin">
        <color indexed="64"/>
      </right>
      <top style="medium">
        <color rgb="FF70706F"/>
      </top>
      <bottom/>
      <diagonal/>
    </border>
    <border>
      <left/>
      <right style="thin">
        <color indexed="64"/>
      </right>
      <top style="dotted">
        <color rgb="FF70706F"/>
      </top>
      <bottom style="dotted">
        <color rgb="FF70706F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rgb="FF70706F"/>
      </bottom>
      <diagonal/>
    </border>
    <border>
      <left/>
      <right style="medium">
        <color rgb="FF70706F"/>
      </right>
      <top style="thin">
        <color indexed="64"/>
      </top>
      <bottom/>
      <diagonal/>
    </border>
    <border>
      <left style="medium">
        <color rgb="FF70706F"/>
      </left>
      <right/>
      <top style="double">
        <color rgb="FF70706F"/>
      </top>
      <bottom/>
      <diagonal/>
    </border>
    <border>
      <left/>
      <right style="medium">
        <color rgb="FF70706F"/>
      </right>
      <top style="double">
        <color rgb="FF70706F"/>
      </top>
      <bottom/>
      <diagonal/>
    </border>
    <border>
      <left style="medium">
        <color rgb="FF70706F"/>
      </left>
      <right/>
      <top style="hair">
        <color rgb="FF70706F"/>
      </top>
      <bottom style="hair">
        <color indexed="64"/>
      </bottom>
      <diagonal/>
    </border>
    <border>
      <left/>
      <right style="medium">
        <color rgb="FF70706F"/>
      </right>
      <top style="hair">
        <color rgb="FF70706F"/>
      </top>
      <bottom style="hair">
        <color indexed="64"/>
      </bottom>
      <diagonal/>
    </border>
    <border>
      <left style="medium">
        <color rgb="FF70706F"/>
      </left>
      <right/>
      <top style="medium">
        <color rgb="FF70706F"/>
      </top>
      <bottom style="thin">
        <color rgb="FF70706F"/>
      </bottom>
      <diagonal/>
    </border>
    <border>
      <left/>
      <right/>
      <top style="medium">
        <color rgb="FF70706F"/>
      </top>
      <bottom style="thin">
        <color rgb="FF70706F"/>
      </bottom>
      <diagonal/>
    </border>
    <border>
      <left/>
      <right style="medium">
        <color rgb="FF70706F"/>
      </right>
      <top style="medium">
        <color rgb="FF70706F"/>
      </top>
      <bottom style="thin">
        <color rgb="FF70706F"/>
      </bottom>
      <diagonal/>
    </border>
  </borders>
  <cellStyleXfs count="12">
    <xf numFmtId="0" fontId="0" fillId="0" borderId="0"/>
    <xf numFmtId="9" fontId="8" fillId="0" borderId="0" applyFont="0" applyFill="0" applyBorder="0" applyAlignment="0" applyProtection="0"/>
    <xf numFmtId="0" fontId="9" fillId="2" borderId="3" applyNumberFormat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8" fillId="0" borderId="0"/>
    <xf numFmtId="164" fontId="8" fillId="0" borderId="0" applyFont="0" applyFill="0" applyBorder="0" applyAlignment="0" applyProtection="0"/>
    <xf numFmtId="0" fontId="35" fillId="0" borderId="0" applyNumberFormat="0" applyFill="0" applyBorder="0" applyAlignment="0" applyProtection="0"/>
    <xf numFmtId="9" fontId="8" fillId="0" borderId="0" applyFont="0" applyFill="0" applyBorder="0" applyAlignment="0" applyProtection="0"/>
    <xf numFmtId="0" fontId="30" fillId="0" borderId="0"/>
    <xf numFmtId="0" fontId="1" fillId="0" borderId="0" applyNumberFormat="0" applyFill="0" applyBorder="0" applyAlignment="0" applyProtection="0"/>
  </cellStyleXfs>
  <cellXfs count="892">
    <xf numFmtId="0" fontId="0" fillId="0" borderId="0" xfId="0"/>
    <xf numFmtId="0" fontId="1" fillId="0" borderId="0" xfId="11"/>
    <xf numFmtId="0" fontId="6" fillId="0" borderId="0" xfId="0" applyFont="1"/>
    <xf numFmtId="0" fontId="0" fillId="0" borderId="0" xfId="0" applyAlignment="1">
      <alignment horizontal="right"/>
    </xf>
    <xf numFmtId="165" fontId="11" fillId="0" borderId="0" xfId="3" applyNumberFormat="1" applyFont="1" applyFill="1" applyBorder="1" applyProtection="1"/>
    <xf numFmtId="0" fontId="11" fillId="0" borderId="0" xfId="4" applyFont="1"/>
    <xf numFmtId="0" fontId="12" fillId="0" borderId="0" xfId="4" applyFont="1"/>
    <xf numFmtId="0" fontId="13" fillId="0" borderId="0" xfId="4" applyFont="1" applyAlignment="1">
      <alignment horizontal="left"/>
    </xf>
    <xf numFmtId="2" fontId="14" fillId="0" borderId="0" xfId="4" applyNumberFormat="1" applyFont="1"/>
    <xf numFmtId="0" fontId="14" fillId="0" borderId="0" xfId="4" applyFont="1" applyAlignment="1">
      <alignment horizontal="center"/>
    </xf>
    <xf numFmtId="165" fontId="15" fillId="0" borderId="4" xfId="3" applyNumberFormat="1" applyFont="1" applyFill="1" applyBorder="1" applyAlignment="1" applyProtection="1">
      <alignment horizontal="center"/>
    </xf>
    <xf numFmtId="0" fontId="0" fillId="0" borderId="4" xfId="0" applyBorder="1"/>
    <xf numFmtId="9" fontId="15" fillId="0" borderId="4" xfId="1" applyFont="1" applyFill="1" applyBorder="1" applyAlignment="1" applyProtection="1">
      <alignment horizontal="center"/>
    </xf>
    <xf numFmtId="2" fontId="0" fillId="0" borderId="4" xfId="1" applyNumberFormat="1" applyFont="1" applyBorder="1"/>
    <xf numFmtId="165" fontId="15" fillId="0" borderId="4" xfId="3" applyNumberFormat="1" applyFont="1" applyFill="1" applyBorder="1" applyProtection="1"/>
    <xf numFmtId="0" fontId="16" fillId="0" borderId="0" xfId="4" applyFont="1"/>
    <xf numFmtId="165" fontId="14" fillId="0" borderId="0" xfId="4" applyNumberFormat="1" applyFont="1" applyAlignment="1">
      <alignment horizontal="center"/>
    </xf>
    <xf numFmtId="0" fontId="14" fillId="0" borderId="0" xfId="4" applyFont="1"/>
    <xf numFmtId="0" fontId="12" fillId="0" borderId="0" xfId="4" applyFont="1" applyAlignment="1">
      <alignment horizontal="center"/>
    </xf>
    <xf numFmtId="165" fontId="12" fillId="0" borderId="9" xfId="3" applyNumberFormat="1" applyFont="1" applyBorder="1" applyProtection="1"/>
    <xf numFmtId="165" fontId="12" fillId="0" borderId="10" xfId="3" applyNumberFormat="1" applyFont="1" applyBorder="1" applyProtection="1"/>
    <xf numFmtId="165" fontId="12" fillId="0" borderId="12" xfId="3" applyNumberFormat="1" applyFont="1" applyBorder="1" applyProtection="1"/>
    <xf numFmtId="165" fontId="12" fillId="0" borderId="13" xfId="3" applyNumberFormat="1" applyFont="1" applyBorder="1" applyProtection="1"/>
    <xf numFmtId="2" fontId="14" fillId="0" borderId="1" xfId="4" applyNumberFormat="1" applyFont="1" applyBorder="1" applyAlignment="1">
      <alignment horizontal="center"/>
    </xf>
    <xf numFmtId="165" fontId="12" fillId="0" borderId="22" xfId="3" applyNumberFormat="1" applyFont="1" applyBorder="1" applyProtection="1"/>
    <xf numFmtId="0" fontId="14" fillId="0" borderId="1" xfId="4" applyFont="1" applyBorder="1" applyAlignment="1">
      <alignment horizontal="center"/>
    </xf>
    <xf numFmtId="1" fontId="0" fillId="0" borderId="0" xfId="0" applyNumberFormat="1"/>
    <xf numFmtId="9" fontId="0" fillId="0" borderId="31" xfId="1" applyFont="1" applyBorder="1"/>
    <xf numFmtId="0" fontId="0" fillId="0" borderId="32" xfId="0" applyBorder="1"/>
    <xf numFmtId="9" fontId="0" fillId="0" borderId="33" xfId="1" applyFont="1" applyBorder="1"/>
    <xf numFmtId="0" fontId="0" fillId="0" borderId="34" xfId="0" applyBorder="1"/>
    <xf numFmtId="0" fontId="6" fillId="0" borderId="0" xfId="0" applyFont="1" applyAlignment="1">
      <alignment wrapText="1"/>
    </xf>
    <xf numFmtId="10" fontId="0" fillId="0" borderId="0" xfId="0" applyNumberFormat="1"/>
    <xf numFmtId="0" fontId="0" fillId="0" borderId="1" xfId="0" applyBorder="1"/>
    <xf numFmtId="0" fontId="1" fillId="0" borderId="1" xfId="11" applyBorder="1"/>
    <xf numFmtId="0" fontId="19" fillId="0" borderId="0" xfId="5" applyFont="1"/>
    <xf numFmtId="0" fontId="20" fillId="4" borderId="0" xfId="5" applyFont="1" applyFill="1"/>
    <xf numFmtId="0" fontId="21" fillId="0" borderId="0" xfId="5" applyFont="1" applyAlignment="1">
      <alignment wrapText="1"/>
    </xf>
    <xf numFmtId="1" fontId="21" fillId="0" borderId="0" xfId="5" applyNumberFormat="1" applyFont="1"/>
    <xf numFmtId="0" fontId="21" fillId="0" borderId="0" xfId="5" applyFont="1"/>
    <xf numFmtId="0" fontId="21" fillId="0" borderId="0" xfId="5" applyFont="1" applyAlignment="1">
      <alignment horizontal="center" vertical="center" wrapText="1"/>
    </xf>
    <xf numFmtId="0" fontId="21" fillId="0" borderId="0" xfId="5" applyFont="1" applyAlignment="1">
      <alignment vertical="center" wrapText="1"/>
    </xf>
    <xf numFmtId="3" fontId="21" fillId="0" borderId="0" xfId="5" applyNumberFormat="1" applyFont="1"/>
    <xf numFmtId="166" fontId="21" fillId="0" borderId="0" xfId="5" applyNumberFormat="1" applyFont="1"/>
    <xf numFmtId="9" fontId="21" fillId="0" borderId="0" xfId="5" applyNumberFormat="1" applyFont="1"/>
    <xf numFmtId="10" fontId="21" fillId="0" borderId="0" xfId="5" applyNumberFormat="1" applyFont="1"/>
    <xf numFmtId="165" fontId="12" fillId="0" borderId="0" xfId="3" applyNumberFormat="1" applyFont="1" applyFill="1" applyBorder="1" applyProtection="1"/>
    <xf numFmtId="165" fontId="19" fillId="0" borderId="0" xfId="5" applyNumberFormat="1" applyFont="1"/>
    <xf numFmtId="0" fontId="12" fillId="0" borderId="0" xfId="5" applyFont="1"/>
    <xf numFmtId="0" fontId="22" fillId="0" borderId="0" xfId="5" applyFont="1"/>
    <xf numFmtId="2" fontId="21" fillId="0" borderId="0" xfId="5" applyNumberFormat="1" applyFont="1"/>
    <xf numFmtId="0" fontId="19" fillId="0" borderId="41" xfId="5" applyFont="1" applyBorder="1"/>
    <xf numFmtId="0" fontId="19" fillId="0" borderId="42" xfId="5" applyFont="1" applyBorder="1"/>
    <xf numFmtId="1" fontId="21" fillId="0" borderId="43" xfId="5" applyNumberFormat="1" applyFont="1" applyBorder="1"/>
    <xf numFmtId="1" fontId="21" fillId="0" borderId="40" xfId="5" applyNumberFormat="1" applyFont="1" applyBorder="1"/>
    <xf numFmtId="1" fontId="21" fillId="0" borderId="41" xfId="5" applyNumberFormat="1" applyFont="1" applyBorder="1"/>
    <xf numFmtId="0" fontId="21" fillId="0" borderId="44" xfId="5" applyFont="1" applyBorder="1" applyAlignment="1">
      <alignment horizontal="left"/>
    </xf>
    <xf numFmtId="0" fontId="19" fillId="0" borderId="25" xfId="5" applyFont="1" applyBorder="1"/>
    <xf numFmtId="0" fontId="19" fillId="0" borderId="45" xfId="5" applyFont="1" applyBorder="1"/>
    <xf numFmtId="0" fontId="19" fillId="0" borderId="1" xfId="5" applyFont="1" applyBorder="1"/>
    <xf numFmtId="1" fontId="21" fillId="0" borderId="46" xfId="5" applyNumberFormat="1" applyFont="1" applyBorder="1"/>
    <xf numFmtId="1" fontId="21" fillId="0" borderId="25" xfId="5" applyNumberFormat="1" applyFont="1" applyBorder="1"/>
    <xf numFmtId="1" fontId="21" fillId="0" borderId="45" xfId="5" applyNumberFormat="1" applyFont="1" applyBorder="1"/>
    <xf numFmtId="0" fontId="21" fillId="0" borderId="47" xfId="5" applyFont="1" applyBorder="1" applyAlignment="1">
      <alignment horizontal="left"/>
    </xf>
    <xf numFmtId="165" fontId="24" fillId="0" borderId="0" xfId="3" applyNumberFormat="1" applyFont="1" applyFill="1" applyBorder="1" applyAlignment="1">
      <alignment horizontal="center"/>
    </xf>
    <xf numFmtId="0" fontId="25" fillId="0" borderId="0" xfId="5" applyFont="1" applyAlignment="1">
      <alignment horizontal="center" vertical="top" wrapText="1"/>
    </xf>
    <xf numFmtId="0" fontId="21" fillId="0" borderId="0" xfId="5" applyFont="1" applyAlignment="1">
      <alignment horizontal="center"/>
    </xf>
    <xf numFmtId="0" fontId="25" fillId="0" borderId="0" xfId="5" applyFont="1" applyAlignment="1">
      <alignment horizontal="center"/>
    </xf>
    <xf numFmtId="1" fontId="21" fillId="0" borderId="0" xfId="5" applyNumberFormat="1" applyFont="1" applyAlignment="1">
      <alignment horizontal="center"/>
    </xf>
    <xf numFmtId="2" fontId="21" fillId="0" borderId="0" xfId="5" applyNumberFormat="1" applyFont="1" applyAlignment="1">
      <alignment horizontal="center"/>
    </xf>
    <xf numFmtId="168" fontId="21" fillId="0" borderId="0" xfId="5" applyNumberFormat="1" applyFont="1" applyAlignment="1">
      <alignment horizontal="center"/>
    </xf>
    <xf numFmtId="0" fontId="26" fillId="0" borderId="0" xfId="5" applyFont="1"/>
    <xf numFmtId="0" fontId="23" fillId="0" borderId="0" xfId="5" applyFont="1" applyAlignment="1">
      <alignment horizontal="center"/>
    </xf>
    <xf numFmtId="165" fontId="27" fillId="0" borderId="0" xfId="3" applyNumberFormat="1" applyFont="1" applyBorder="1" applyProtection="1"/>
    <xf numFmtId="165" fontId="28" fillId="0" borderId="0" xfId="5" applyNumberFormat="1" applyFont="1"/>
    <xf numFmtId="0" fontId="28" fillId="0" borderId="0" xfId="5" applyFont="1" applyAlignment="1">
      <alignment horizontal="right"/>
    </xf>
    <xf numFmtId="0" fontId="29" fillId="0" borderId="0" xfId="5" applyFont="1"/>
    <xf numFmtId="0" fontId="23" fillId="0" borderId="0" xfId="5" applyFont="1"/>
    <xf numFmtId="165" fontId="27" fillId="0" borderId="6" xfId="3" applyNumberFormat="1" applyFont="1" applyBorder="1" applyProtection="1"/>
    <xf numFmtId="165" fontId="29" fillId="0" borderId="57" xfId="5" applyNumberFormat="1" applyFont="1" applyBorder="1"/>
    <xf numFmtId="0" fontId="23" fillId="0" borderId="57" xfId="5" applyFont="1" applyBorder="1" applyAlignment="1">
      <alignment horizontal="center"/>
    </xf>
    <xf numFmtId="165" fontId="12" fillId="0" borderId="10" xfId="3" applyNumberFormat="1" applyFont="1" applyFill="1" applyBorder="1" applyProtection="1"/>
    <xf numFmtId="165" fontId="19" fillId="0" borderId="10" xfId="3" applyNumberFormat="1" applyFont="1" applyBorder="1"/>
    <xf numFmtId="0" fontId="19" fillId="0" borderId="11" xfId="5" applyFont="1" applyBorder="1"/>
    <xf numFmtId="165" fontId="12" fillId="0" borderId="13" xfId="3" applyNumberFormat="1" applyFont="1" applyFill="1" applyBorder="1" applyProtection="1"/>
    <xf numFmtId="165" fontId="19" fillId="0" borderId="13" xfId="3" applyNumberFormat="1" applyFont="1" applyBorder="1"/>
    <xf numFmtId="0" fontId="19" fillId="0" borderId="14" xfId="5" applyFont="1" applyBorder="1"/>
    <xf numFmtId="165" fontId="16" fillId="0" borderId="13" xfId="3" applyNumberFormat="1" applyFont="1" applyBorder="1"/>
    <xf numFmtId="9" fontId="0" fillId="0" borderId="1" xfId="1" applyFont="1" applyBorder="1"/>
    <xf numFmtId="0" fontId="8" fillId="0" borderId="0" xfId="6"/>
    <xf numFmtId="0" fontId="31" fillId="0" borderId="0" xfId="6" applyFont="1"/>
    <xf numFmtId="0" fontId="32" fillId="0" borderId="0" xfId="6" applyFont="1"/>
    <xf numFmtId="0" fontId="6" fillId="0" borderId="0" xfId="6" applyFont="1"/>
    <xf numFmtId="0" fontId="31" fillId="0" borderId="10" xfId="6" applyFont="1" applyBorder="1"/>
    <xf numFmtId="0" fontId="8" fillId="0" borderId="25" xfId="6" applyBorder="1"/>
    <xf numFmtId="0" fontId="5" fillId="0" borderId="0" xfId="6" applyFont="1"/>
    <xf numFmtId="0" fontId="38" fillId="0" borderId="0" xfId="6" applyFont="1"/>
    <xf numFmtId="174" fontId="33" fillId="0" borderId="10" xfId="6" applyNumberFormat="1" applyFont="1" applyBorder="1"/>
    <xf numFmtId="0" fontId="8" fillId="0" borderId="22" xfId="6" applyBorder="1"/>
    <xf numFmtId="2" fontId="8" fillId="0" borderId="25" xfId="6" applyNumberFormat="1" applyBorder="1"/>
    <xf numFmtId="2" fontId="3" fillId="5" borderId="25" xfId="5" applyNumberFormat="1" applyFill="1" applyBorder="1"/>
    <xf numFmtId="4" fontId="8" fillId="0" borderId="25" xfId="6" applyNumberFormat="1" applyBorder="1"/>
    <xf numFmtId="165" fontId="29" fillId="0" borderId="0" xfId="5" applyNumberFormat="1" applyFont="1"/>
    <xf numFmtId="0" fontId="21" fillId="0" borderId="1" xfId="5" applyFont="1" applyBorder="1" applyAlignment="1">
      <alignment horizontal="center"/>
    </xf>
    <xf numFmtId="0" fontId="21" fillId="0" borderId="19" xfId="5" applyFont="1" applyBorder="1"/>
    <xf numFmtId="0" fontId="21" fillId="0" borderId="18" xfId="5" applyFont="1" applyBorder="1" applyAlignment="1">
      <alignment horizontal="center"/>
    </xf>
    <xf numFmtId="0" fontId="40" fillId="0" borderId="1" xfId="0" applyFont="1" applyBorder="1"/>
    <xf numFmtId="0" fontId="41" fillId="0" borderId="0" xfId="0" applyFont="1"/>
    <xf numFmtId="2" fontId="3" fillId="5" borderId="58" xfId="5" applyNumberFormat="1" applyFill="1" applyBorder="1"/>
    <xf numFmtId="2" fontId="3" fillId="5" borderId="24" xfId="5" applyNumberFormat="1" applyFill="1" applyBorder="1"/>
    <xf numFmtId="0" fontId="8" fillId="0" borderId="58" xfId="6" applyBorder="1"/>
    <xf numFmtId="2" fontId="8" fillId="0" borderId="58" xfId="6" applyNumberFormat="1" applyBorder="1"/>
    <xf numFmtId="0" fontId="8" fillId="0" borderId="23" xfId="6" applyBorder="1"/>
    <xf numFmtId="2" fontId="3" fillId="5" borderId="21" xfId="5" applyNumberFormat="1" applyFill="1" applyBorder="1"/>
    <xf numFmtId="0" fontId="8" fillId="0" borderId="56" xfId="6" applyBorder="1"/>
    <xf numFmtId="0" fontId="8" fillId="0" borderId="40" xfId="6" applyBorder="1"/>
    <xf numFmtId="0" fontId="8" fillId="0" borderId="39" xfId="6" applyBorder="1"/>
    <xf numFmtId="0" fontId="33" fillId="0" borderId="60" xfId="6" applyFont="1" applyBorder="1"/>
    <xf numFmtId="174" fontId="33" fillId="0" borderId="49" xfId="6" applyNumberFormat="1" applyFont="1" applyBorder="1"/>
    <xf numFmtId="0" fontId="8" fillId="0" borderId="48" xfId="6" applyBorder="1"/>
    <xf numFmtId="0" fontId="33" fillId="0" borderId="11" xfId="6" applyFont="1" applyBorder="1"/>
    <xf numFmtId="0" fontId="8" fillId="0" borderId="9" xfId="6" applyBorder="1"/>
    <xf numFmtId="0" fontId="33" fillId="0" borderId="8" xfId="6" applyFont="1" applyBorder="1"/>
    <xf numFmtId="174" fontId="33" fillId="0" borderId="7" xfId="6" applyNumberFormat="1" applyFont="1" applyBorder="1"/>
    <xf numFmtId="0" fontId="8" fillId="0" borderId="6" xfId="6" applyBorder="1"/>
    <xf numFmtId="0" fontId="35" fillId="0" borderId="0" xfId="8" applyAlignment="1" applyProtection="1"/>
    <xf numFmtId="2" fontId="31" fillId="0" borderId="10" xfId="6" applyNumberFormat="1" applyFont="1" applyBorder="1"/>
    <xf numFmtId="167" fontId="31" fillId="0" borderId="10" xfId="6" applyNumberFormat="1" applyFont="1" applyBorder="1"/>
    <xf numFmtId="2" fontId="34" fillId="0" borderId="10" xfId="6" applyNumberFormat="1" applyFont="1" applyBorder="1"/>
    <xf numFmtId="164" fontId="32" fillId="0" borderId="59" xfId="7" applyFont="1" applyFill="1" applyBorder="1" applyAlignment="1" applyProtection="1"/>
    <xf numFmtId="0" fontId="21" fillId="0" borderId="0" xfId="5" applyFont="1" applyAlignment="1">
      <alignment horizontal="center" wrapText="1"/>
    </xf>
    <xf numFmtId="2" fontId="21" fillId="0" borderId="1" xfId="5" applyNumberFormat="1" applyFont="1" applyBorder="1" applyAlignment="1">
      <alignment horizontal="center" wrapText="1"/>
    </xf>
    <xf numFmtId="0" fontId="21" fillId="0" borderId="17" xfId="5" applyFont="1" applyBorder="1" applyAlignment="1">
      <alignment wrapText="1"/>
    </xf>
    <xf numFmtId="0" fontId="21" fillId="0" borderId="15" xfId="5" applyFont="1" applyBorder="1" applyAlignment="1">
      <alignment horizontal="center" wrapText="1"/>
    </xf>
    <xf numFmtId="0" fontId="25" fillId="0" borderId="0" xfId="5" applyFont="1" applyAlignment="1">
      <alignment vertical="top"/>
    </xf>
    <xf numFmtId="0" fontId="23" fillId="0" borderId="0" xfId="5" applyFont="1" applyAlignment="1">
      <alignment vertical="top"/>
    </xf>
    <xf numFmtId="0" fontId="23" fillId="0" borderId="0" xfId="5" applyFont="1" applyAlignment="1">
      <alignment horizontal="center" vertical="top" wrapText="1"/>
    </xf>
    <xf numFmtId="0" fontId="19" fillId="0" borderId="69" xfId="5" applyFont="1" applyBorder="1"/>
    <xf numFmtId="0" fontId="19" fillId="0" borderId="70" xfId="5" applyFont="1" applyBorder="1"/>
    <xf numFmtId="2" fontId="21" fillId="0" borderId="1" xfId="5" applyNumberFormat="1" applyFont="1" applyBorder="1" applyAlignment="1">
      <alignment horizontal="center"/>
    </xf>
    <xf numFmtId="0" fontId="21" fillId="0" borderId="19" xfId="5" applyFont="1" applyBorder="1" applyAlignment="1">
      <alignment wrapText="1"/>
    </xf>
    <xf numFmtId="0" fontId="21" fillId="0" borderId="18" xfId="5" applyFont="1" applyBorder="1" applyAlignment="1">
      <alignment horizontal="center" wrapText="1"/>
    </xf>
    <xf numFmtId="165" fontId="22" fillId="0" borderId="0" xfId="3" applyNumberFormat="1" applyFont="1" applyFill="1" applyBorder="1" applyAlignment="1" applyProtection="1">
      <alignment horizontal="center"/>
    </xf>
    <xf numFmtId="0" fontId="22" fillId="0" borderId="0" xfId="5" applyFont="1" applyAlignment="1">
      <alignment horizontal="center"/>
    </xf>
    <xf numFmtId="0" fontId="21" fillId="0" borderId="1" xfId="5" applyFont="1" applyBorder="1" applyAlignment="1">
      <alignment wrapText="1"/>
    </xf>
    <xf numFmtId="0" fontId="21" fillId="0" borderId="1" xfId="5" applyFont="1" applyBorder="1" applyAlignment="1">
      <alignment horizontal="center" wrapText="1"/>
    </xf>
    <xf numFmtId="0" fontId="21" fillId="0" borderId="65" xfId="5" applyFont="1" applyBorder="1"/>
    <xf numFmtId="2" fontId="21" fillId="0" borderId="27" xfId="5" applyNumberFormat="1" applyFont="1" applyBorder="1" applyAlignment="1">
      <alignment horizontal="center"/>
    </xf>
    <xf numFmtId="0" fontId="21" fillId="0" borderId="26" xfId="5" applyFont="1" applyBorder="1" applyAlignment="1">
      <alignment horizontal="center"/>
    </xf>
    <xf numFmtId="0" fontId="21" fillId="0" borderId="16" xfId="5" applyFont="1" applyBorder="1" applyAlignment="1">
      <alignment wrapText="1"/>
    </xf>
    <xf numFmtId="0" fontId="23" fillId="0" borderId="1" xfId="5" applyFont="1" applyBorder="1"/>
    <xf numFmtId="0" fontId="23" fillId="0" borderId="19" xfId="5" applyFont="1" applyBorder="1"/>
    <xf numFmtId="0" fontId="23" fillId="0" borderId="18" xfId="5" applyFont="1" applyBorder="1" applyAlignment="1">
      <alignment horizontal="center"/>
    </xf>
    <xf numFmtId="0" fontId="23" fillId="0" borderId="17" xfId="5" applyFont="1" applyBorder="1"/>
    <xf numFmtId="0" fontId="23" fillId="0" borderId="16" xfId="5" applyFont="1" applyBorder="1"/>
    <xf numFmtId="0" fontId="23" fillId="0" borderId="15" xfId="5" applyFont="1" applyBorder="1" applyAlignment="1">
      <alignment horizontal="center"/>
    </xf>
    <xf numFmtId="0" fontId="19" fillId="0" borderId="40" xfId="5" applyFont="1" applyBorder="1"/>
    <xf numFmtId="0" fontId="19" fillId="0" borderId="24" xfId="5" applyFont="1" applyBorder="1"/>
    <xf numFmtId="0" fontId="19" fillId="0" borderId="39" xfId="5" applyFont="1" applyBorder="1"/>
    <xf numFmtId="0" fontId="0" fillId="0" borderId="117" xfId="0" applyBorder="1"/>
    <xf numFmtId="0" fontId="0" fillId="0" borderId="118" xfId="0" applyBorder="1"/>
    <xf numFmtId="0" fontId="0" fillId="0" borderId="119" xfId="0" applyBorder="1"/>
    <xf numFmtId="0" fontId="0" fillId="0" borderId="120" xfId="0" applyBorder="1"/>
    <xf numFmtId="0" fontId="0" fillId="0" borderId="121" xfId="0" applyBorder="1"/>
    <xf numFmtId="0" fontId="0" fillId="0" borderId="115" xfId="0" applyBorder="1"/>
    <xf numFmtId="0" fontId="0" fillId="0" borderId="116" xfId="0" applyBorder="1"/>
    <xf numFmtId="0" fontId="0" fillId="0" borderId="1" xfId="0" applyBorder="1" applyAlignment="1">
      <alignment horizontal="center"/>
    </xf>
    <xf numFmtId="175" fontId="0" fillId="0" borderId="1" xfId="0" applyNumberFormat="1" applyBorder="1" applyAlignment="1">
      <alignment horizontal="center"/>
    </xf>
    <xf numFmtId="0" fontId="0" fillId="0" borderId="120" xfId="0" applyBorder="1" applyAlignment="1">
      <alignment horizontal="center"/>
    </xf>
    <xf numFmtId="0" fontId="0" fillId="0" borderId="118" xfId="0" applyBorder="1" applyAlignment="1">
      <alignment horizontal="center"/>
    </xf>
    <xf numFmtId="0" fontId="0" fillId="0" borderId="121" xfId="0" applyBorder="1" applyAlignment="1">
      <alignment horizontal="center"/>
    </xf>
    <xf numFmtId="0" fontId="0" fillId="0" borderId="125" xfId="0" applyBorder="1"/>
    <xf numFmtId="0" fontId="0" fillId="0" borderId="130" xfId="0" applyBorder="1"/>
    <xf numFmtId="0" fontId="0" fillId="0" borderId="129" xfId="0" applyBorder="1"/>
    <xf numFmtId="0" fontId="0" fillId="0" borderId="101" xfId="0" applyBorder="1"/>
    <xf numFmtId="0" fontId="0" fillId="0" borderId="96" xfId="0" applyBorder="1"/>
    <xf numFmtId="0" fontId="0" fillId="0" borderId="102" xfId="0" applyBorder="1"/>
    <xf numFmtId="0" fontId="0" fillId="0" borderId="104" xfId="0" applyBorder="1"/>
    <xf numFmtId="0" fontId="0" fillId="0" borderId="97" xfId="0" applyBorder="1"/>
    <xf numFmtId="0" fontId="0" fillId="0" borderId="134" xfId="0" applyBorder="1"/>
    <xf numFmtId="0" fontId="0" fillId="0" borderId="135" xfId="0" applyBorder="1"/>
    <xf numFmtId="0" fontId="0" fillId="0" borderId="136" xfId="0" applyBorder="1"/>
    <xf numFmtId="0" fontId="0" fillId="0" borderId="137" xfId="0" applyBorder="1"/>
    <xf numFmtId="0" fontId="0" fillId="0" borderId="138" xfId="0" applyBorder="1"/>
    <xf numFmtId="0" fontId="0" fillId="0" borderId="139" xfId="0" applyBorder="1"/>
    <xf numFmtId="0" fontId="49" fillId="0" borderId="0" xfId="0" applyFont="1" applyAlignment="1">
      <alignment vertical="top"/>
    </xf>
    <xf numFmtId="0" fontId="49" fillId="0" borderId="0" xfId="0" applyFont="1"/>
    <xf numFmtId="0" fontId="41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1" fillId="0" borderId="120" xfId="11" applyBorder="1"/>
    <xf numFmtId="0" fontId="0" fillId="0" borderId="140" xfId="0" applyBorder="1"/>
    <xf numFmtId="0" fontId="0" fillId="0" borderId="2" xfId="0" applyBorder="1" applyAlignment="1">
      <alignment horizontal="center"/>
    </xf>
    <xf numFmtId="0" fontId="0" fillId="0" borderId="141" xfId="0" applyBorder="1" applyAlignment="1">
      <alignment horizontal="center"/>
    </xf>
    <xf numFmtId="1" fontId="0" fillId="0" borderId="118" xfId="0" applyNumberFormat="1" applyBorder="1"/>
    <xf numFmtId="0" fontId="0" fillId="0" borderId="114" xfId="0" applyBorder="1"/>
    <xf numFmtId="9" fontId="0" fillId="0" borderId="120" xfId="1" applyFont="1" applyBorder="1"/>
    <xf numFmtId="0" fontId="12" fillId="0" borderId="142" xfId="4" applyFont="1" applyBorder="1"/>
    <xf numFmtId="165" fontId="12" fillId="0" borderId="143" xfId="3" applyNumberFormat="1" applyFont="1" applyBorder="1" applyProtection="1"/>
    <xf numFmtId="0" fontId="12" fillId="0" borderId="149" xfId="4" applyFont="1" applyBorder="1"/>
    <xf numFmtId="165" fontId="12" fillId="0" borderId="150" xfId="3" applyNumberFormat="1" applyFont="1" applyBorder="1" applyProtection="1"/>
    <xf numFmtId="0" fontId="11" fillId="0" borderId="153" xfId="4" applyFont="1" applyBorder="1"/>
    <xf numFmtId="165" fontId="11" fillId="0" borderId="154" xfId="3" applyNumberFormat="1" applyFont="1" applyBorder="1" applyProtection="1"/>
    <xf numFmtId="165" fontId="11" fillId="0" borderId="155" xfId="3" applyNumberFormat="1" applyFont="1" applyBorder="1" applyProtection="1"/>
    <xf numFmtId="165" fontId="12" fillId="0" borderId="135" xfId="3" applyNumberFormat="1" applyFont="1" applyBorder="1" applyProtection="1"/>
    <xf numFmtId="165" fontId="12" fillId="0" borderId="136" xfId="3" applyNumberFormat="1" applyFont="1" applyBorder="1" applyProtection="1"/>
    <xf numFmtId="165" fontId="12" fillId="0" borderId="138" xfId="3" applyNumberFormat="1" applyFont="1" applyBorder="1" applyProtection="1"/>
    <xf numFmtId="165" fontId="12" fillId="0" borderId="139" xfId="3" applyNumberFormat="1" applyFont="1" applyBorder="1" applyProtection="1"/>
    <xf numFmtId="2" fontId="14" fillId="0" borderId="4" xfId="4" applyNumberFormat="1" applyFont="1" applyBorder="1" applyAlignment="1">
      <alignment horizontal="center"/>
    </xf>
    <xf numFmtId="2" fontId="14" fillId="0" borderId="159" xfId="4" applyNumberFormat="1" applyFont="1" applyBorder="1" applyAlignment="1">
      <alignment horizontal="left"/>
    </xf>
    <xf numFmtId="2" fontId="14" fillId="0" borderId="160" xfId="4" applyNumberFormat="1" applyFont="1" applyBorder="1"/>
    <xf numFmtId="0" fontId="14" fillId="0" borderId="117" xfId="4" applyFont="1" applyBorder="1" applyAlignment="1">
      <alignment horizontal="left"/>
    </xf>
    <xf numFmtId="0" fontId="14" fillId="0" borderId="118" xfId="4" applyFont="1" applyBorder="1" applyAlignment="1">
      <alignment horizontal="left"/>
    </xf>
    <xf numFmtId="2" fontId="14" fillId="0" borderId="117" xfId="4" applyNumberFormat="1" applyFont="1" applyBorder="1"/>
    <xf numFmtId="2" fontId="14" fillId="0" borderId="118" xfId="4" applyNumberFormat="1" applyFont="1" applyBorder="1"/>
    <xf numFmtId="0" fontId="0" fillId="0" borderId="93" xfId="0" applyBorder="1"/>
    <xf numFmtId="0" fontId="0" fillId="0" borderId="164" xfId="0" applyBorder="1"/>
    <xf numFmtId="0" fontId="0" fillId="0" borderId="165" xfId="0" applyBorder="1"/>
    <xf numFmtId="0" fontId="0" fillId="0" borderId="128" xfId="0" applyBorder="1"/>
    <xf numFmtId="0" fontId="21" fillId="0" borderId="134" xfId="5" applyFont="1" applyBorder="1"/>
    <xf numFmtId="0" fontId="14" fillId="0" borderId="135" xfId="5" applyFont="1" applyBorder="1"/>
    <xf numFmtId="0" fontId="14" fillId="0" borderId="136" xfId="5" applyFont="1" applyBorder="1"/>
    <xf numFmtId="0" fontId="19" fillId="0" borderId="142" xfId="5" applyFont="1" applyBorder="1"/>
    <xf numFmtId="0" fontId="19" fillId="0" borderId="146" xfId="5" applyFont="1" applyBorder="1"/>
    <xf numFmtId="165" fontId="12" fillId="0" borderId="147" xfId="3" applyNumberFormat="1" applyFont="1" applyBorder="1" applyProtection="1"/>
    <xf numFmtId="165" fontId="12" fillId="0" borderId="147" xfId="3" applyNumberFormat="1" applyFont="1" applyFill="1" applyBorder="1" applyProtection="1"/>
    <xf numFmtId="165" fontId="12" fillId="0" borderId="148" xfId="3" applyNumberFormat="1" applyFont="1" applyBorder="1" applyProtection="1"/>
    <xf numFmtId="0" fontId="21" fillId="0" borderId="166" xfId="5" applyFont="1" applyBorder="1"/>
    <xf numFmtId="165" fontId="14" fillId="0" borderId="167" xfId="3" applyNumberFormat="1" applyFont="1" applyFill="1" applyBorder="1"/>
    <xf numFmtId="165" fontId="14" fillId="0" borderId="168" xfId="3" applyNumberFormat="1" applyFont="1" applyFill="1" applyBorder="1"/>
    <xf numFmtId="0" fontId="19" fillId="0" borderId="153" xfId="5" applyFont="1" applyBorder="1"/>
    <xf numFmtId="165" fontId="19" fillId="0" borderId="154" xfId="3" applyNumberFormat="1" applyFont="1" applyBorder="1"/>
    <xf numFmtId="165" fontId="12" fillId="0" borderId="154" xfId="3" applyNumberFormat="1" applyFont="1" applyBorder="1" applyProtection="1"/>
    <xf numFmtId="165" fontId="42" fillId="0" borderId="154" xfId="3" applyNumberFormat="1" applyFont="1" applyFill="1" applyBorder="1" applyProtection="1"/>
    <xf numFmtId="165" fontId="42" fillId="0" borderId="155" xfId="3" applyNumberFormat="1" applyFont="1" applyBorder="1" applyProtection="1"/>
    <xf numFmtId="0" fontId="21" fillId="12" borderId="166" xfId="5" applyFont="1" applyFill="1" applyBorder="1"/>
    <xf numFmtId="165" fontId="14" fillId="12" borderId="167" xfId="3" applyNumberFormat="1" applyFont="1" applyFill="1" applyBorder="1"/>
    <xf numFmtId="0" fontId="14" fillId="12" borderId="162" xfId="5" applyFont="1" applyFill="1" applyBorder="1"/>
    <xf numFmtId="165" fontId="14" fillId="12" borderId="168" xfId="3" applyNumberFormat="1" applyFont="1" applyFill="1" applyBorder="1"/>
    <xf numFmtId="0" fontId="23" fillId="0" borderId="161" xfId="5" applyFont="1" applyBorder="1" applyAlignment="1">
      <alignment vertical="top"/>
    </xf>
    <xf numFmtId="0" fontId="23" fillId="0" borderId="162" xfId="5" applyFont="1" applyBorder="1" applyAlignment="1">
      <alignment vertical="top"/>
    </xf>
    <xf numFmtId="0" fontId="23" fillId="0" borderId="162" xfId="5" applyFont="1" applyBorder="1" applyAlignment="1">
      <alignment horizontal="center" vertical="top" wrapText="1"/>
    </xf>
    <xf numFmtId="0" fontId="23" fillId="0" borderId="163" xfId="5" applyFont="1" applyBorder="1" applyAlignment="1">
      <alignment horizontal="center" vertical="top" wrapText="1"/>
    </xf>
    <xf numFmtId="0" fontId="21" fillId="0" borderId="85" xfId="5" applyFont="1" applyBorder="1"/>
    <xf numFmtId="0" fontId="21" fillId="0" borderId="103" xfId="5" applyFont="1" applyBorder="1"/>
    <xf numFmtId="168" fontId="21" fillId="0" borderId="103" xfId="5" applyNumberFormat="1" applyFont="1" applyBorder="1" applyAlignment="1">
      <alignment horizontal="center"/>
    </xf>
    <xf numFmtId="2" fontId="21" fillId="0" borderId="103" xfId="5" applyNumberFormat="1" applyFont="1" applyBorder="1" applyAlignment="1">
      <alignment horizontal="center"/>
    </xf>
    <xf numFmtId="1" fontId="21" fillId="0" borderId="93" xfId="5" applyNumberFormat="1" applyFont="1" applyBorder="1" applyAlignment="1">
      <alignment horizontal="center"/>
    </xf>
    <xf numFmtId="0" fontId="21" fillId="0" borderId="102" xfId="5" applyFont="1" applyBorder="1"/>
    <xf numFmtId="0" fontId="21" fillId="0" borderId="104" xfId="5" applyFont="1" applyBorder="1"/>
    <xf numFmtId="168" fontId="21" fillId="0" borderId="104" xfId="5" applyNumberFormat="1" applyFont="1" applyBorder="1" applyAlignment="1">
      <alignment horizontal="center"/>
    </xf>
    <xf numFmtId="2" fontId="21" fillId="0" borderId="104" xfId="5" applyNumberFormat="1" applyFont="1" applyBorder="1" applyAlignment="1">
      <alignment horizontal="center"/>
    </xf>
    <xf numFmtId="1" fontId="21" fillId="0" borderId="97" xfId="5" applyNumberFormat="1" applyFont="1" applyBorder="1" applyAlignment="1">
      <alignment horizontal="center"/>
    </xf>
    <xf numFmtId="0" fontId="23" fillId="0" borderId="134" xfId="5" applyFont="1" applyBorder="1" applyAlignment="1">
      <alignment vertical="top"/>
    </xf>
    <xf numFmtId="0" fontId="23" fillId="0" borderId="135" xfId="5" applyFont="1" applyBorder="1" applyAlignment="1">
      <alignment vertical="top"/>
    </xf>
    <xf numFmtId="0" fontId="23" fillId="0" borderId="135" xfId="5" applyFont="1" applyBorder="1" applyAlignment="1">
      <alignment horizontal="center" vertical="top" wrapText="1"/>
    </xf>
    <xf numFmtId="0" fontId="23" fillId="0" borderId="136" xfId="5" applyFont="1" applyBorder="1" applyAlignment="1">
      <alignment horizontal="center" vertical="top" wrapText="1"/>
    </xf>
    <xf numFmtId="0" fontId="21" fillId="0" borderId="102" xfId="5" applyFont="1" applyBorder="1" applyAlignment="1">
      <alignment vertical="top"/>
    </xf>
    <xf numFmtId="0" fontId="21" fillId="0" borderId="104" xfId="5" applyFont="1" applyBorder="1" applyAlignment="1">
      <alignment vertical="top"/>
    </xf>
    <xf numFmtId="0" fontId="21" fillId="0" borderId="104" xfId="5" applyFont="1" applyBorder="1" applyAlignment="1">
      <alignment horizontal="center" vertical="top" wrapText="1"/>
    </xf>
    <xf numFmtId="0" fontId="21" fillId="0" borderId="97" xfId="5" applyFont="1" applyBorder="1" applyAlignment="1">
      <alignment horizontal="center" vertical="top" wrapText="1"/>
    </xf>
    <xf numFmtId="0" fontId="23" fillId="0" borderId="20" xfId="5" applyFont="1" applyBorder="1" applyAlignment="1">
      <alignment vertical="top" wrapText="1"/>
    </xf>
    <xf numFmtId="0" fontId="23" fillId="0" borderId="51" xfId="5" applyFont="1" applyBorder="1" applyAlignment="1">
      <alignment horizontal="center" vertical="top" wrapText="1"/>
    </xf>
    <xf numFmtId="0" fontId="23" fillId="0" borderId="68" xfId="5" applyFont="1" applyBorder="1" applyAlignment="1">
      <alignment horizontal="center" vertical="top" wrapText="1"/>
    </xf>
    <xf numFmtId="0" fontId="23" fillId="0" borderId="50" xfId="5" applyFont="1" applyBorder="1" applyAlignment="1">
      <alignment horizontal="center" vertical="top" wrapText="1"/>
    </xf>
    <xf numFmtId="0" fontId="21" fillId="0" borderId="169" xfId="5" applyFont="1" applyBorder="1" applyAlignment="1">
      <alignment horizontal="left"/>
    </xf>
    <xf numFmtId="1" fontId="21" fillId="0" borderId="170" xfId="5" applyNumberFormat="1" applyFont="1" applyBorder="1"/>
    <xf numFmtId="0" fontId="19" fillId="0" borderId="13" xfId="5" applyFont="1" applyBorder="1"/>
    <xf numFmtId="0" fontId="19" fillId="0" borderId="4" xfId="5" applyFont="1" applyBorder="1"/>
    <xf numFmtId="0" fontId="19" fillId="0" borderId="170" xfId="5" applyFont="1" applyBorder="1"/>
    <xf numFmtId="0" fontId="19" fillId="0" borderId="171" xfId="5" applyFont="1" applyBorder="1"/>
    <xf numFmtId="0" fontId="19" fillId="0" borderId="12" xfId="5" applyFont="1" applyBorder="1"/>
    <xf numFmtId="0" fontId="23" fillId="0" borderId="166" xfId="5" applyFont="1" applyBorder="1" applyAlignment="1">
      <alignment horizontal="right"/>
    </xf>
    <xf numFmtId="165" fontId="23" fillId="0" borderId="167" xfId="3" applyNumberFormat="1" applyFont="1" applyFill="1" applyBorder="1" applyAlignment="1">
      <alignment horizontal="center"/>
    </xf>
    <xf numFmtId="165" fontId="23" fillId="0" borderId="172" xfId="3" applyNumberFormat="1" applyFont="1" applyFill="1" applyBorder="1" applyAlignment="1">
      <alignment horizontal="center"/>
    </xf>
    <xf numFmtId="165" fontId="23" fillId="0" borderId="168" xfId="3" applyNumberFormat="1" applyFont="1" applyFill="1" applyBorder="1" applyAlignment="1">
      <alignment horizontal="center"/>
    </xf>
    <xf numFmtId="0" fontId="8" fillId="0" borderId="144" xfId="6" applyBorder="1"/>
    <xf numFmtId="0" fontId="31" fillId="0" borderId="144" xfId="6" applyFont="1" applyBorder="1"/>
    <xf numFmtId="0" fontId="31" fillId="0" borderId="101" xfId="6" applyFont="1" applyBorder="1"/>
    <xf numFmtId="0" fontId="31" fillId="0" borderId="177" xfId="6" applyFont="1" applyBorder="1"/>
    <xf numFmtId="0" fontId="32" fillId="0" borderId="182" xfId="6" applyFont="1" applyBorder="1"/>
    <xf numFmtId="0" fontId="31" fillId="0" borderId="174" xfId="6" applyFont="1" applyBorder="1"/>
    <xf numFmtId="0" fontId="31" fillId="0" borderId="175" xfId="6" applyFont="1" applyBorder="1"/>
    <xf numFmtId="0" fontId="31" fillId="0" borderId="142" xfId="6" applyFont="1" applyBorder="1"/>
    <xf numFmtId="0" fontId="32" fillId="0" borderId="82" xfId="6" applyFont="1" applyBorder="1"/>
    <xf numFmtId="0" fontId="31" fillId="0" borderId="83" xfId="6" applyFont="1" applyBorder="1"/>
    <xf numFmtId="0" fontId="8" fillId="0" borderId="102" xfId="6" applyBorder="1"/>
    <xf numFmtId="0" fontId="32" fillId="0" borderId="153" xfId="6" applyFont="1" applyBorder="1"/>
    <xf numFmtId="0" fontId="8" fillId="0" borderId="83" xfId="6" applyBorder="1"/>
    <xf numFmtId="0" fontId="33" fillId="0" borderId="102" xfId="6" applyFont="1" applyBorder="1"/>
    <xf numFmtId="169" fontId="33" fillId="0" borderId="154" xfId="6" applyNumberFormat="1" applyFont="1" applyBorder="1"/>
    <xf numFmtId="169" fontId="33" fillId="0" borderId="155" xfId="6" applyNumberFormat="1" applyFont="1" applyBorder="1"/>
    <xf numFmtId="0" fontId="31" fillId="0" borderId="82" xfId="6" applyFont="1" applyBorder="1"/>
    <xf numFmtId="0" fontId="31" fillId="0" borderId="84" xfId="6" applyFont="1" applyBorder="1"/>
    <xf numFmtId="0" fontId="31" fillId="0" borderId="176" xfId="6" applyFont="1" applyBorder="1"/>
    <xf numFmtId="2" fontId="34" fillId="0" borderId="178" xfId="6" applyNumberFormat="1" applyFont="1" applyBorder="1"/>
    <xf numFmtId="164" fontId="32" fillId="0" borderId="183" xfId="7" applyFont="1" applyFill="1" applyBorder="1" applyAlignment="1" applyProtection="1"/>
    <xf numFmtId="0" fontId="31" fillId="0" borderId="149" xfId="6" applyFont="1" applyBorder="1"/>
    <xf numFmtId="0" fontId="31" fillId="0" borderId="22" xfId="6" applyFont="1" applyBorder="1"/>
    <xf numFmtId="0" fontId="31" fillId="0" borderId="150" xfId="6" applyFont="1" applyBorder="1"/>
    <xf numFmtId="0" fontId="32" fillId="0" borderId="151" xfId="6" applyFont="1" applyBorder="1"/>
    <xf numFmtId="164" fontId="32" fillId="0" borderId="67" xfId="7" applyFont="1" applyFill="1" applyBorder="1" applyAlignment="1" applyProtection="1"/>
    <xf numFmtId="170" fontId="32" fillId="0" borderId="67" xfId="6" applyNumberFormat="1" applyFont="1" applyBorder="1" applyAlignment="1">
      <alignment horizontal="left"/>
    </xf>
    <xf numFmtId="170" fontId="32" fillId="0" borderId="152" xfId="6" applyNumberFormat="1" applyFont="1" applyBorder="1" applyAlignment="1">
      <alignment horizontal="left"/>
    </xf>
    <xf numFmtId="0" fontId="0" fillId="0" borderId="103" xfId="0" applyBorder="1"/>
    <xf numFmtId="0" fontId="1" fillId="0" borderId="118" xfId="11" applyBorder="1"/>
    <xf numFmtId="10" fontId="0" fillId="0" borderId="125" xfId="0" applyNumberFormat="1" applyBorder="1"/>
    <xf numFmtId="10" fontId="0" fillId="0" borderId="135" xfId="0" applyNumberFormat="1" applyBorder="1"/>
    <xf numFmtId="10" fontId="0" fillId="0" borderId="138" xfId="0" applyNumberFormat="1" applyBorder="1"/>
    <xf numFmtId="0" fontId="14" fillId="0" borderId="119" xfId="4" applyFont="1" applyBorder="1" applyAlignment="1">
      <alignment horizontal="center"/>
    </xf>
    <xf numFmtId="0" fontId="14" fillId="0" borderId="120" xfId="4" applyFont="1" applyBorder="1" applyAlignment="1">
      <alignment horizontal="center"/>
    </xf>
    <xf numFmtId="0" fontId="13" fillId="0" borderId="121" xfId="4" applyFont="1" applyBorder="1" applyAlignment="1">
      <alignment horizontal="left"/>
    </xf>
    <xf numFmtId="0" fontId="12" fillId="0" borderId="177" xfId="4" applyFont="1" applyBorder="1"/>
    <xf numFmtId="165" fontId="12" fillId="0" borderId="178" xfId="3" applyNumberFormat="1" applyFont="1" applyBorder="1" applyProtection="1"/>
    <xf numFmtId="0" fontId="6" fillId="0" borderId="197" xfId="0" applyFont="1" applyBorder="1"/>
    <xf numFmtId="0" fontId="6" fillId="0" borderId="198" xfId="0" applyFont="1" applyBorder="1"/>
    <xf numFmtId="0" fontId="17" fillId="0" borderId="82" xfId="0" applyFont="1" applyBorder="1"/>
    <xf numFmtId="0" fontId="17" fillId="0" borderId="84" xfId="0" applyFont="1" applyBorder="1"/>
    <xf numFmtId="0" fontId="0" fillId="0" borderId="199" xfId="0" applyBorder="1"/>
    <xf numFmtId="0" fontId="39" fillId="0" borderId="0" xfId="0" applyFont="1"/>
    <xf numFmtId="0" fontId="43" fillId="0" borderId="19" xfId="0" applyFont="1" applyBorder="1"/>
    <xf numFmtId="0" fontId="44" fillId="0" borderId="18" xfId="0" applyFont="1" applyBorder="1"/>
    <xf numFmtId="0" fontId="43" fillId="13" borderId="17" xfId="0" applyFont="1" applyFill="1" applyBorder="1"/>
    <xf numFmtId="0" fontId="0" fillId="13" borderId="16" xfId="0" applyFill="1" applyBorder="1" applyAlignment="1">
      <alignment horizontal="center"/>
    </xf>
    <xf numFmtId="0" fontId="44" fillId="13" borderId="15" xfId="0" applyFont="1" applyFill="1" applyBorder="1"/>
    <xf numFmtId="0" fontId="0" fillId="13" borderId="119" xfId="0" applyFill="1" applyBorder="1"/>
    <xf numFmtId="1" fontId="0" fillId="13" borderId="121" xfId="0" applyNumberFormat="1" applyFill="1" applyBorder="1"/>
    <xf numFmtId="0" fontId="0" fillId="13" borderId="120" xfId="0" applyFill="1" applyBorder="1" applyAlignment="1">
      <alignment horizontal="center"/>
    </xf>
    <xf numFmtId="0" fontId="0" fillId="13" borderId="121" xfId="0" applyFill="1" applyBorder="1" applyAlignment="1">
      <alignment horizontal="center"/>
    </xf>
    <xf numFmtId="0" fontId="0" fillId="13" borderId="121" xfId="0" applyFill="1" applyBorder="1"/>
    <xf numFmtId="0" fontId="43" fillId="13" borderId="200" xfId="0" applyFont="1" applyFill="1" applyBorder="1"/>
    <xf numFmtId="0" fontId="0" fillId="13" borderId="2" xfId="0" applyFill="1" applyBorder="1"/>
    <xf numFmtId="0" fontId="0" fillId="13" borderId="201" xfId="0" applyFill="1" applyBorder="1"/>
    <xf numFmtId="0" fontId="43" fillId="0" borderId="125" xfId="0" applyFont="1" applyBorder="1"/>
    <xf numFmtId="0" fontId="52" fillId="0" borderId="1" xfId="0" applyFont="1" applyBorder="1"/>
    <xf numFmtId="0" fontId="60" fillId="10" borderId="122" xfId="0" applyFont="1" applyFill="1" applyBorder="1" applyAlignment="1" applyProtection="1">
      <alignment horizontal="center"/>
      <protection locked="0"/>
    </xf>
    <xf numFmtId="0" fontId="60" fillId="10" borderId="123" xfId="0" applyFont="1" applyFill="1" applyBorder="1" applyAlignment="1" applyProtection="1">
      <alignment horizontal="center"/>
      <protection locked="0"/>
    </xf>
    <xf numFmtId="0" fontId="60" fillId="10" borderId="124" xfId="0" applyFont="1" applyFill="1" applyBorder="1" applyAlignment="1" applyProtection="1">
      <alignment horizontal="center"/>
      <protection locked="0"/>
    </xf>
    <xf numFmtId="0" fontId="60" fillId="10" borderId="84" xfId="0" applyFont="1" applyFill="1" applyBorder="1" applyAlignment="1" applyProtection="1">
      <alignment horizontal="center"/>
      <protection locked="0"/>
    </xf>
    <xf numFmtId="0" fontId="60" fillId="10" borderId="99" xfId="0" applyFont="1" applyFill="1" applyBorder="1" applyAlignment="1" applyProtection="1">
      <alignment horizontal="center"/>
      <protection locked="0"/>
    </xf>
    <xf numFmtId="0" fontId="60" fillId="10" borderId="100" xfId="0" applyFont="1" applyFill="1" applyBorder="1" applyAlignment="1" applyProtection="1">
      <alignment horizontal="center"/>
      <protection locked="0"/>
    </xf>
    <xf numFmtId="9" fontId="60" fillId="10" borderId="100" xfId="1" applyFont="1" applyFill="1" applyBorder="1" applyAlignment="1" applyProtection="1">
      <alignment horizontal="center"/>
      <protection locked="0"/>
    </xf>
    <xf numFmtId="9" fontId="60" fillId="10" borderId="94" xfId="1" applyFont="1" applyFill="1" applyBorder="1" applyAlignment="1" applyProtection="1">
      <alignment horizontal="center"/>
      <protection locked="0"/>
    </xf>
    <xf numFmtId="0" fontId="60" fillId="10" borderId="211" xfId="0" applyFont="1" applyFill="1" applyBorder="1" applyAlignment="1" applyProtection="1">
      <alignment horizontal="center"/>
      <protection locked="0"/>
    </xf>
    <xf numFmtId="0" fontId="60" fillId="10" borderId="212" xfId="0" applyFont="1" applyFill="1" applyBorder="1" applyAlignment="1" applyProtection="1">
      <alignment horizontal="center"/>
      <protection locked="0"/>
    </xf>
    <xf numFmtId="0" fontId="60" fillId="10" borderId="91" xfId="0" applyFont="1" applyFill="1" applyBorder="1" applyAlignment="1" applyProtection="1">
      <alignment horizontal="center"/>
      <protection locked="0"/>
    </xf>
    <xf numFmtId="0" fontId="60" fillId="10" borderId="92" xfId="0" applyFont="1" applyFill="1" applyBorder="1" applyAlignment="1" applyProtection="1">
      <alignment horizontal="center"/>
      <protection locked="0"/>
    </xf>
    <xf numFmtId="0" fontId="60" fillId="12" borderId="216" xfId="0" applyFont="1" applyFill="1" applyBorder="1" applyProtection="1">
      <protection locked="0"/>
    </xf>
    <xf numFmtId="0" fontId="60" fillId="12" borderId="217" xfId="0" applyFont="1" applyFill="1" applyBorder="1" applyProtection="1">
      <protection locked="0"/>
    </xf>
    <xf numFmtId="0" fontId="60" fillId="12" borderId="96" xfId="0" applyFont="1" applyFill="1" applyBorder="1" applyProtection="1">
      <protection locked="0"/>
    </xf>
    <xf numFmtId="0" fontId="60" fillId="12" borderId="218" xfId="0" applyFont="1" applyFill="1" applyBorder="1" applyProtection="1">
      <protection locked="0"/>
    </xf>
    <xf numFmtId="10" fontId="60" fillId="10" borderId="97" xfId="0" applyNumberFormat="1" applyFont="1" applyFill="1" applyBorder="1" applyAlignment="1" applyProtection="1">
      <alignment horizontal="center"/>
      <protection locked="0"/>
    </xf>
    <xf numFmtId="0" fontId="61" fillId="10" borderId="211" xfId="2" applyFont="1" applyFill="1" applyBorder="1" applyAlignment="1" applyProtection="1">
      <alignment horizontal="center"/>
      <protection locked="0"/>
    </xf>
    <xf numFmtId="0" fontId="60" fillId="0" borderId="133" xfId="0" applyFont="1" applyBorder="1" applyAlignment="1" applyProtection="1">
      <alignment horizontal="center"/>
      <protection locked="0"/>
    </xf>
    <xf numFmtId="0" fontId="60" fillId="0" borderId="219" xfId="0" applyFont="1" applyBorder="1" applyAlignment="1" applyProtection="1">
      <alignment horizontal="center"/>
      <protection locked="0"/>
    </xf>
    <xf numFmtId="0" fontId="60" fillId="0" borderId="220" xfId="0" applyFont="1" applyBorder="1" applyAlignment="1" applyProtection="1">
      <alignment horizontal="center"/>
      <protection locked="0"/>
    </xf>
    <xf numFmtId="0" fontId="60" fillId="0" borderId="221" xfId="0" applyFont="1" applyBorder="1" applyAlignment="1" applyProtection="1">
      <alignment horizontal="center"/>
      <protection locked="0"/>
    </xf>
    <xf numFmtId="0" fontId="60" fillId="10" borderId="222" xfId="0" applyFont="1" applyFill="1" applyBorder="1" applyAlignment="1" applyProtection="1">
      <alignment horizontal="center"/>
      <protection locked="0"/>
    </xf>
    <xf numFmtId="0" fontId="60" fillId="10" borderId="223" xfId="0" applyFont="1" applyFill="1" applyBorder="1" applyAlignment="1" applyProtection="1">
      <alignment horizontal="center"/>
      <protection locked="0"/>
    </xf>
    <xf numFmtId="0" fontId="60" fillId="10" borderId="224" xfId="0" applyFont="1" applyFill="1" applyBorder="1" applyAlignment="1" applyProtection="1">
      <alignment horizontal="center"/>
      <protection locked="0"/>
    </xf>
    <xf numFmtId="0" fontId="60" fillId="10" borderId="90" xfId="0" applyFont="1" applyFill="1" applyBorder="1" applyAlignment="1" applyProtection="1">
      <alignment horizontal="center"/>
      <protection locked="0"/>
    </xf>
    <xf numFmtId="0" fontId="60" fillId="10" borderId="225" xfId="0" applyFont="1" applyFill="1" applyBorder="1" applyAlignment="1" applyProtection="1">
      <alignment horizontal="center"/>
      <protection locked="0"/>
    </xf>
    <xf numFmtId="0" fontId="60" fillId="10" borderId="216" xfId="0" applyFont="1" applyFill="1" applyBorder="1" applyAlignment="1" applyProtection="1">
      <alignment horizontal="center"/>
      <protection locked="0"/>
    </xf>
    <xf numFmtId="0" fontId="60" fillId="10" borderId="96" xfId="0" applyFont="1" applyFill="1" applyBorder="1" applyAlignment="1" applyProtection="1">
      <alignment horizontal="center"/>
      <protection locked="0"/>
    </xf>
    <xf numFmtId="0" fontId="60" fillId="10" borderId="217" xfId="0" applyFont="1" applyFill="1" applyBorder="1" applyAlignment="1" applyProtection="1">
      <alignment horizontal="center"/>
      <protection locked="0"/>
    </xf>
    <xf numFmtId="0" fontId="23" fillId="0" borderId="36" xfId="5" applyFont="1" applyBorder="1"/>
    <xf numFmtId="0" fontId="23" fillId="0" borderId="5" xfId="5" applyFont="1" applyBorder="1"/>
    <xf numFmtId="0" fontId="23" fillId="0" borderId="35" xfId="5" applyFont="1" applyBorder="1" applyAlignment="1">
      <alignment horizontal="center"/>
    </xf>
    <xf numFmtId="0" fontId="60" fillId="10" borderId="214" xfId="0" applyFont="1" applyFill="1" applyBorder="1" applyAlignment="1" applyProtection="1">
      <alignment horizontal="center"/>
      <protection locked="0"/>
    </xf>
    <xf numFmtId="0" fontId="60" fillId="12" borderId="214" xfId="0" applyFont="1" applyFill="1" applyBorder="1" applyProtection="1">
      <protection locked="0"/>
    </xf>
    <xf numFmtId="176" fontId="60" fillId="10" borderId="97" xfId="0" applyNumberFormat="1" applyFont="1" applyFill="1" applyBorder="1" applyAlignment="1" applyProtection="1">
      <alignment horizontal="center"/>
      <protection locked="0"/>
    </xf>
    <xf numFmtId="0" fontId="61" fillId="10" borderId="213" xfId="2" applyFont="1" applyFill="1" applyBorder="1" applyAlignment="1" applyProtection="1">
      <alignment horizontal="center"/>
      <protection locked="0"/>
    </xf>
    <xf numFmtId="176" fontId="60" fillId="10" borderId="99" xfId="0" applyNumberFormat="1" applyFont="1" applyFill="1" applyBorder="1" applyAlignment="1" applyProtection="1">
      <alignment horizontal="center"/>
      <protection locked="0"/>
    </xf>
    <xf numFmtId="0" fontId="60" fillId="10" borderId="215" xfId="0" applyFont="1" applyFill="1" applyBorder="1" applyAlignment="1" applyProtection="1">
      <alignment horizontal="center"/>
      <protection locked="0"/>
    </xf>
    <xf numFmtId="9" fontId="60" fillId="10" borderId="100" xfId="1" applyFont="1" applyFill="1" applyBorder="1" applyAlignment="1" applyProtection="1">
      <alignment horizontal="center" wrapText="1"/>
      <protection locked="0"/>
    </xf>
    <xf numFmtId="0" fontId="60" fillId="10" borderId="95" xfId="0" applyFont="1" applyFill="1" applyBorder="1" applyAlignment="1" applyProtection="1">
      <alignment horizontal="center"/>
      <protection locked="0"/>
    </xf>
    <xf numFmtId="0" fontId="60" fillId="10" borderId="94" xfId="0" applyFont="1" applyFill="1" applyBorder="1" applyAlignment="1" applyProtection="1">
      <alignment horizontal="center"/>
      <protection locked="0"/>
    </xf>
    <xf numFmtId="9" fontId="60" fillId="10" borderId="95" xfId="1" applyFont="1" applyFill="1" applyBorder="1" applyAlignment="1" applyProtection="1">
      <alignment horizontal="center"/>
      <protection locked="0"/>
    </xf>
    <xf numFmtId="0" fontId="43" fillId="12" borderId="200" xfId="0" applyFont="1" applyFill="1" applyBorder="1"/>
    <xf numFmtId="0" fontId="0" fillId="12" borderId="2" xfId="0" applyFill="1" applyBorder="1" applyAlignment="1">
      <alignment horizontal="center"/>
    </xf>
    <xf numFmtId="0" fontId="44" fillId="12" borderId="201" xfId="0" applyFont="1" applyFill="1" applyBorder="1"/>
    <xf numFmtId="0" fontId="39" fillId="3" borderId="65" xfId="0" applyFont="1" applyFill="1" applyBorder="1"/>
    <xf numFmtId="0" fontId="39" fillId="3" borderId="27" xfId="0" applyFont="1" applyFill="1" applyBorder="1"/>
    <xf numFmtId="0" fontId="39" fillId="3" borderId="26" xfId="0" applyFont="1" applyFill="1" applyBorder="1"/>
    <xf numFmtId="0" fontId="39" fillId="3" borderId="114" xfId="0" applyFont="1" applyFill="1" applyBorder="1"/>
    <xf numFmtId="0" fontId="39" fillId="3" borderId="115" xfId="0" applyFont="1" applyFill="1" applyBorder="1"/>
    <xf numFmtId="0" fontId="39" fillId="3" borderId="116" xfId="0" applyFont="1" applyFill="1" applyBorder="1"/>
    <xf numFmtId="0" fontId="0" fillId="3" borderId="103" xfId="0" applyFill="1" applyBorder="1"/>
    <xf numFmtId="0" fontId="0" fillId="3" borderId="93" xfId="0" applyFill="1" applyBorder="1"/>
    <xf numFmtId="165" fontId="17" fillId="12" borderId="83" xfId="0" applyNumberFormat="1" applyFont="1" applyFill="1" applyBorder="1"/>
    <xf numFmtId="0" fontId="39" fillId="3" borderId="82" xfId="0" applyFont="1" applyFill="1" applyBorder="1"/>
    <xf numFmtId="0" fontId="39" fillId="3" borderId="84" xfId="0" applyFont="1" applyFill="1" applyBorder="1" applyAlignment="1">
      <alignment wrapText="1"/>
    </xf>
    <xf numFmtId="0" fontId="39" fillId="3" borderId="195" xfId="0" applyFont="1" applyFill="1" applyBorder="1"/>
    <xf numFmtId="0" fontId="39" fillId="3" borderId="196" xfId="0" applyFont="1" applyFill="1" applyBorder="1"/>
    <xf numFmtId="0" fontId="22" fillId="3" borderId="156" xfId="4" applyFont="1" applyFill="1" applyBorder="1"/>
    <xf numFmtId="0" fontId="22" fillId="3" borderId="157" xfId="4" applyFont="1" applyFill="1" applyBorder="1"/>
    <xf numFmtId="0" fontId="22" fillId="3" borderId="158" xfId="4" applyFont="1" applyFill="1" applyBorder="1"/>
    <xf numFmtId="0" fontId="22" fillId="18" borderId="189" xfId="4" applyFont="1" applyFill="1" applyBorder="1" applyAlignment="1">
      <alignment vertical="top" wrapText="1"/>
    </xf>
    <xf numFmtId="0" fontId="22" fillId="18" borderId="190" xfId="4" applyFont="1" applyFill="1" applyBorder="1" applyAlignment="1">
      <alignment vertical="top" wrapText="1"/>
    </xf>
    <xf numFmtId="0" fontId="22" fillId="19" borderId="190" xfId="4" applyFont="1" applyFill="1" applyBorder="1" applyAlignment="1">
      <alignment vertical="top" wrapText="1"/>
    </xf>
    <xf numFmtId="0" fontId="22" fillId="18" borderId="83" xfId="4" applyFont="1" applyFill="1" applyBorder="1" applyAlignment="1">
      <alignment vertical="top" wrapText="1"/>
    </xf>
    <xf numFmtId="0" fontId="22" fillId="18" borderId="191" xfId="4" applyFont="1" applyFill="1" applyBorder="1" applyAlignment="1">
      <alignment vertical="top" wrapText="1"/>
    </xf>
    <xf numFmtId="0" fontId="39" fillId="3" borderId="126" xfId="0" applyFont="1" applyFill="1" applyBorder="1"/>
    <xf numFmtId="165" fontId="11" fillId="0" borderId="154" xfId="3" applyNumberFormat="1" applyFont="1" applyFill="1" applyBorder="1" applyProtection="1"/>
    <xf numFmtId="165" fontId="11" fillId="0" borderId="97" xfId="3" applyNumberFormat="1" applyFont="1" applyFill="1" applyBorder="1" applyProtection="1"/>
    <xf numFmtId="165" fontId="0" fillId="0" borderId="1" xfId="0" applyNumberFormat="1" applyBorder="1"/>
    <xf numFmtId="2" fontId="31" fillId="0" borderId="25" xfId="6" applyNumberFormat="1" applyFont="1" applyBorder="1"/>
    <xf numFmtId="2" fontId="31" fillId="0" borderId="145" xfId="6" applyNumberFormat="1" applyFont="1" applyBorder="1"/>
    <xf numFmtId="2" fontId="31" fillId="0" borderId="178" xfId="6" applyNumberFormat="1" applyFont="1" applyBorder="1"/>
    <xf numFmtId="0" fontId="31" fillId="0" borderId="25" xfId="6" applyFont="1" applyBorder="1"/>
    <xf numFmtId="0" fontId="31" fillId="0" borderId="145" xfId="6" applyFont="1" applyBorder="1"/>
    <xf numFmtId="171" fontId="31" fillId="0" borderId="25" xfId="6" applyNumberFormat="1" applyFont="1" applyBorder="1"/>
    <xf numFmtId="168" fontId="31" fillId="0" borderId="25" xfId="6" applyNumberFormat="1" applyFont="1" applyBorder="1"/>
    <xf numFmtId="172" fontId="31" fillId="0" borderId="25" xfId="6" applyNumberFormat="1" applyFont="1" applyBorder="1"/>
    <xf numFmtId="0" fontId="31" fillId="0" borderId="25" xfId="6" applyFont="1" applyBorder="1" applyAlignment="1">
      <alignment wrapText="1"/>
    </xf>
    <xf numFmtId="0" fontId="31" fillId="0" borderId="147" xfId="6" applyFont="1" applyBorder="1" applyAlignment="1">
      <alignment wrapText="1"/>
    </xf>
    <xf numFmtId="0" fontId="31" fillId="0" borderId="147" xfId="6" applyFont="1" applyBorder="1"/>
    <xf numFmtId="0" fontId="8" fillId="0" borderId="147" xfId="6" applyBorder="1"/>
    <xf numFmtId="0" fontId="31" fillId="0" borderId="148" xfId="6" applyFont="1" applyBorder="1"/>
    <xf numFmtId="0" fontId="31" fillId="0" borderId="96" xfId="6" applyFont="1" applyBorder="1"/>
    <xf numFmtId="0" fontId="83" fillId="17" borderId="64" xfId="10" applyFont="1" applyFill="1" applyBorder="1"/>
    <xf numFmtId="0" fontId="10" fillId="3" borderId="29" xfId="6" applyFont="1" applyFill="1" applyBorder="1"/>
    <xf numFmtId="0" fontId="10" fillId="3" borderId="28" xfId="6" applyFont="1" applyFill="1" applyBorder="1"/>
    <xf numFmtId="0" fontId="37" fillId="3" borderId="63" xfId="6" applyFont="1" applyFill="1" applyBorder="1"/>
    <xf numFmtId="0" fontId="37" fillId="3" borderId="62" xfId="6" applyFont="1" applyFill="1" applyBorder="1"/>
    <xf numFmtId="0" fontId="37" fillId="3" borderId="61" xfId="6" applyFont="1" applyFill="1" applyBorder="1"/>
    <xf numFmtId="0" fontId="36" fillId="3" borderId="187" xfId="6" applyFont="1" applyFill="1" applyBorder="1"/>
    <xf numFmtId="0" fontId="36" fillId="3" borderId="185" xfId="6" applyFont="1" applyFill="1" applyBorder="1"/>
    <xf numFmtId="0" fontId="36" fillId="3" borderId="185" xfId="6" applyFont="1" applyFill="1" applyBorder="1" applyAlignment="1">
      <alignment wrapText="1"/>
    </xf>
    <xf numFmtId="0" fontId="36" fillId="3" borderId="188" xfId="6" applyFont="1" applyFill="1" applyBorder="1" applyAlignment="1">
      <alignment wrapText="1"/>
    </xf>
    <xf numFmtId="173" fontId="31" fillId="0" borderId="175" xfId="9" applyNumberFormat="1" applyFont="1" applyFill="1" applyBorder="1" applyProtection="1"/>
    <xf numFmtId="9" fontId="31" fillId="0" borderId="175" xfId="9" applyFont="1" applyFill="1" applyBorder="1" applyProtection="1"/>
    <xf numFmtId="9" fontId="31" fillId="0" borderId="176" xfId="9" applyFont="1" applyFill="1" applyBorder="1" applyProtection="1"/>
    <xf numFmtId="9" fontId="31" fillId="0" borderId="25" xfId="9" applyFont="1" applyFill="1" applyBorder="1" applyProtection="1"/>
    <xf numFmtId="9" fontId="31" fillId="0" borderId="145" xfId="9" applyFont="1" applyFill="1" applyBorder="1" applyProtection="1"/>
    <xf numFmtId="2" fontId="31" fillId="0" borderId="175" xfId="6" applyNumberFormat="1" applyFont="1" applyBorder="1"/>
    <xf numFmtId="2" fontId="31" fillId="0" borderId="176" xfId="6" applyNumberFormat="1" applyFont="1" applyBorder="1"/>
    <xf numFmtId="171" fontId="32" fillId="0" borderId="154" xfId="6" applyNumberFormat="1" applyFont="1" applyBorder="1"/>
    <xf numFmtId="168" fontId="32" fillId="0" borderId="154" xfId="6" applyNumberFormat="1" applyFont="1" applyBorder="1"/>
    <xf numFmtId="168" fontId="32" fillId="0" borderId="155" xfId="6" applyNumberFormat="1" applyFont="1" applyBorder="1"/>
    <xf numFmtId="10" fontId="31" fillId="0" borderId="83" xfId="6" applyNumberFormat="1" applyFont="1" applyBorder="1"/>
    <xf numFmtId="0" fontId="8" fillId="0" borderId="84" xfId="6" applyBorder="1"/>
    <xf numFmtId="0" fontId="31" fillId="0" borderId="13" xfId="6" applyFont="1" applyBorder="1"/>
    <xf numFmtId="10" fontId="31" fillId="0" borderId="13" xfId="6" applyNumberFormat="1" applyFont="1" applyBorder="1"/>
    <xf numFmtId="0" fontId="8" fillId="0" borderId="13" xfId="6" applyBorder="1"/>
    <xf numFmtId="0" fontId="8" fillId="0" borderId="143" xfId="6" applyBorder="1"/>
    <xf numFmtId="0" fontId="39" fillId="3" borderId="117" xfId="0" applyFont="1" applyFill="1" applyBorder="1"/>
    <xf numFmtId="0" fontId="39" fillId="3" borderId="119" xfId="0" applyFont="1" applyFill="1" applyBorder="1"/>
    <xf numFmtId="0" fontId="39" fillId="3" borderId="83" xfId="0" applyFont="1" applyFill="1" applyBorder="1"/>
    <xf numFmtId="10" fontId="39" fillId="3" borderId="83" xfId="0" applyNumberFormat="1" applyFont="1" applyFill="1" applyBorder="1"/>
    <xf numFmtId="0" fontId="39" fillId="3" borderId="84" xfId="0" applyFont="1" applyFill="1" applyBorder="1"/>
    <xf numFmtId="0" fontId="55" fillId="0" borderId="0" xfId="0" applyFont="1"/>
    <xf numFmtId="0" fontId="55" fillId="0" borderId="0" xfId="0" applyFont="1" applyAlignment="1">
      <alignment horizontal="center"/>
    </xf>
    <xf numFmtId="0" fontId="55" fillId="12" borderId="85" xfId="0" applyFont="1" applyFill="1" applyBorder="1"/>
    <xf numFmtId="0" fontId="55" fillId="12" borderId="103" xfId="0" applyFont="1" applyFill="1" applyBorder="1"/>
    <xf numFmtId="0" fontId="55" fillId="12" borderId="103" xfId="0" applyFont="1" applyFill="1" applyBorder="1" applyAlignment="1">
      <alignment horizontal="center"/>
    </xf>
    <xf numFmtId="0" fontId="55" fillId="12" borderId="93" xfId="0" applyFont="1" applyFill="1" applyBorder="1"/>
    <xf numFmtId="0" fontId="55" fillId="12" borderId="101" xfId="0" applyFont="1" applyFill="1" applyBorder="1"/>
    <xf numFmtId="0" fontId="55" fillId="12" borderId="0" xfId="0" applyFont="1" applyFill="1"/>
    <xf numFmtId="0" fontId="55" fillId="12" borderId="96" xfId="0" applyFont="1" applyFill="1" applyBorder="1"/>
    <xf numFmtId="0" fontId="54" fillId="12" borderId="0" xfId="0" applyFont="1" applyFill="1" applyAlignment="1">
      <alignment horizontal="center" vertical="center" wrapText="1"/>
    </xf>
    <xf numFmtId="0" fontId="55" fillId="12" borderId="102" xfId="0" applyFont="1" applyFill="1" applyBorder="1"/>
    <xf numFmtId="0" fontId="55" fillId="12" borderId="104" xfId="0" applyFont="1" applyFill="1" applyBorder="1"/>
    <xf numFmtId="0" fontId="55" fillId="12" borderId="97" xfId="0" applyFont="1" applyFill="1" applyBorder="1"/>
    <xf numFmtId="0" fontId="56" fillId="12" borderId="0" xfId="0" applyFont="1" applyFill="1" applyAlignment="1">
      <alignment vertical="center" wrapText="1"/>
    </xf>
    <xf numFmtId="0" fontId="57" fillId="14" borderId="81" xfId="0" applyFont="1" applyFill="1" applyBorder="1" applyAlignment="1">
      <alignment vertical="center" wrapText="1"/>
    </xf>
    <xf numFmtId="0" fontId="59" fillId="12" borderId="0" xfId="0" applyFont="1" applyFill="1" applyAlignment="1">
      <alignment horizontal="center"/>
    </xf>
    <xf numFmtId="0" fontId="57" fillId="14" borderId="81" xfId="0" applyFont="1" applyFill="1" applyBorder="1"/>
    <xf numFmtId="0" fontId="58" fillId="12" borderId="106" xfId="0" applyFont="1" applyFill="1" applyBorder="1"/>
    <xf numFmtId="0" fontId="58" fillId="12" borderId="108" xfId="0" applyFont="1" applyFill="1" applyBorder="1"/>
    <xf numFmtId="0" fontId="58" fillId="12" borderId="105" xfId="0" applyFont="1" applyFill="1" applyBorder="1"/>
    <xf numFmtId="0" fontId="54" fillId="12" borderId="0" xfId="0" applyFont="1" applyFill="1"/>
    <xf numFmtId="0" fontId="1" fillId="12" borderId="0" xfId="11" applyFill="1" applyAlignment="1" applyProtection="1"/>
    <xf numFmtId="0" fontId="53" fillId="12" borderId="92" xfId="0" applyFont="1" applyFill="1" applyBorder="1"/>
    <xf numFmtId="0" fontId="55" fillId="12" borderId="0" xfId="0" applyFont="1" applyFill="1" applyAlignment="1">
      <alignment horizontal="center"/>
    </xf>
    <xf numFmtId="0" fontId="60" fillId="0" borderId="213" xfId="0" applyFont="1" applyBorder="1"/>
    <xf numFmtId="0" fontId="60" fillId="0" borderId="0" xfId="0" applyFont="1"/>
    <xf numFmtId="0" fontId="58" fillId="0" borderId="92" xfId="0" applyFont="1" applyBorder="1"/>
    <xf numFmtId="0" fontId="55" fillId="12" borderId="104" xfId="0" applyFont="1" applyFill="1" applyBorder="1" applyAlignment="1">
      <alignment horizontal="center"/>
    </xf>
    <xf numFmtId="0" fontId="64" fillId="12" borderId="0" xfId="0" applyFont="1" applyFill="1"/>
    <xf numFmtId="0" fontId="71" fillId="12" borderId="101" xfId="0" applyFont="1" applyFill="1" applyBorder="1"/>
    <xf numFmtId="0" fontId="60" fillId="12" borderId="0" xfId="0" applyFont="1" applyFill="1"/>
    <xf numFmtId="0" fontId="60" fillId="0" borderId="91" xfId="0" applyFont="1" applyBorder="1"/>
    <xf numFmtId="0" fontId="60" fillId="12" borderId="101" xfId="0" applyFont="1" applyFill="1" applyBorder="1"/>
    <xf numFmtId="0" fontId="60" fillId="0" borderId="92" xfId="0" applyFont="1" applyBorder="1"/>
    <xf numFmtId="0" fontId="65" fillId="0" borderId="0" xfId="0" applyFont="1" applyAlignment="1">
      <alignment horizontal="center"/>
    </xf>
    <xf numFmtId="0" fontId="65" fillId="12" borderId="0" xfId="0" applyFont="1" applyFill="1" applyAlignment="1">
      <alignment horizontal="center"/>
    </xf>
    <xf numFmtId="0" fontId="60" fillId="12" borderId="81" xfId="0" applyFont="1" applyFill="1" applyBorder="1"/>
    <xf numFmtId="0" fontId="60" fillId="12" borderId="85" xfId="0" applyFont="1" applyFill="1" applyBorder="1"/>
    <xf numFmtId="0" fontId="59" fillId="3" borderId="84" xfId="0" applyFont="1" applyFill="1" applyBorder="1"/>
    <xf numFmtId="0" fontId="62" fillId="12" borderId="101" xfId="0" applyFont="1" applyFill="1" applyBorder="1"/>
    <xf numFmtId="0" fontId="60" fillId="0" borderId="81" xfId="0" applyFont="1" applyBorder="1"/>
    <xf numFmtId="0" fontId="63" fillId="3" borderId="84" xfId="0" applyFont="1" applyFill="1" applyBorder="1" applyAlignment="1">
      <alignment horizontal="left"/>
    </xf>
    <xf numFmtId="0" fontId="60" fillId="0" borderId="84" xfId="0" applyFont="1" applyBorder="1"/>
    <xf numFmtId="0" fontId="60" fillId="12" borderId="101" xfId="0" applyFont="1" applyFill="1" applyBorder="1" applyAlignment="1">
      <alignment wrapText="1"/>
    </xf>
    <xf numFmtId="0" fontId="60" fillId="12" borderId="91" xfId="0" applyFont="1" applyFill="1" applyBorder="1"/>
    <xf numFmtId="0" fontId="60" fillId="12" borderId="96" xfId="0" applyFont="1" applyFill="1" applyBorder="1"/>
    <xf numFmtId="0" fontId="60" fillId="12" borderId="92" xfId="0" applyFont="1" applyFill="1" applyBorder="1"/>
    <xf numFmtId="0" fontId="60" fillId="12" borderId="97" xfId="0" applyFont="1" applyFill="1" applyBorder="1"/>
    <xf numFmtId="0" fontId="60" fillId="15" borderId="81" xfId="0" applyFont="1" applyFill="1" applyBorder="1"/>
    <xf numFmtId="176" fontId="60" fillId="15" borderId="81" xfId="0" applyNumberFormat="1" applyFont="1" applyFill="1" applyBorder="1" applyAlignment="1">
      <alignment horizontal="center"/>
    </xf>
    <xf numFmtId="0" fontId="60" fillId="12" borderId="90" xfId="0" applyFont="1" applyFill="1" applyBorder="1"/>
    <xf numFmtId="0" fontId="63" fillId="3" borderId="82" xfId="0" applyFont="1" applyFill="1" applyBorder="1"/>
    <xf numFmtId="0" fontId="63" fillId="3" borderId="81" xfId="0" applyFont="1" applyFill="1" applyBorder="1" applyAlignment="1">
      <alignment horizontal="left"/>
    </xf>
    <xf numFmtId="0" fontId="60" fillId="0" borderId="104" xfId="0" applyFont="1" applyBorder="1"/>
    <xf numFmtId="0" fontId="60" fillId="12" borderId="0" xfId="0" applyFont="1" applyFill="1" applyAlignment="1">
      <alignment horizontal="center"/>
    </xf>
    <xf numFmtId="1" fontId="60" fillId="12" borderId="0" xfId="0" applyNumberFormat="1" applyFont="1" applyFill="1"/>
    <xf numFmtId="0" fontId="55" fillId="12" borderId="0" xfId="0" applyFont="1" applyFill="1" applyAlignment="1">
      <alignment horizontal="left"/>
    </xf>
    <xf numFmtId="0" fontId="59" fillId="12" borderId="0" xfId="0" applyFont="1" applyFill="1" applyAlignment="1">
      <alignment horizontal="left"/>
    </xf>
    <xf numFmtId="0" fontId="63" fillId="12" borderId="0" xfId="0" applyFont="1" applyFill="1"/>
    <xf numFmtId="0" fontId="59" fillId="3" borderId="83" xfId="0" applyFont="1" applyFill="1" applyBorder="1"/>
    <xf numFmtId="0" fontId="72" fillId="12" borderId="0" xfId="0" applyFont="1" applyFill="1" applyAlignment="1">
      <alignment vertical="center"/>
    </xf>
    <xf numFmtId="0" fontId="67" fillId="3" borderId="81" xfId="0" applyFont="1" applyFill="1" applyBorder="1"/>
    <xf numFmtId="0" fontId="67" fillId="3" borderId="84" xfId="0" applyFont="1" applyFill="1" applyBorder="1"/>
    <xf numFmtId="0" fontId="63" fillId="12" borderId="101" xfId="0" applyFont="1" applyFill="1" applyBorder="1" applyAlignment="1">
      <alignment vertical="center"/>
    </xf>
    <xf numFmtId="0" fontId="60" fillId="10" borderId="87" xfId="0" applyFont="1" applyFill="1" applyBorder="1" applyAlignment="1">
      <alignment horizontal="left"/>
    </xf>
    <xf numFmtId="0" fontId="60" fillId="10" borderId="87" xfId="0" applyFont="1" applyFill="1" applyBorder="1" applyAlignment="1">
      <alignment horizontal="center"/>
    </xf>
    <xf numFmtId="0" fontId="60" fillId="10" borderId="87" xfId="0" applyFont="1" applyFill="1" applyBorder="1"/>
    <xf numFmtId="0" fontId="60" fillId="10" borderId="88" xfId="0" applyFont="1" applyFill="1" applyBorder="1"/>
    <xf numFmtId="0" fontId="60" fillId="12" borderId="88" xfId="0" applyFont="1" applyFill="1" applyBorder="1"/>
    <xf numFmtId="0" fontId="60" fillId="12" borderId="78" xfId="0" applyFont="1" applyFill="1" applyBorder="1"/>
    <xf numFmtId="0" fontId="60" fillId="10" borderId="86" xfId="0" applyFont="1" applyFill="1" applyBorder="1" applyAlignment="1">
      <alignment horizontal="left"/>
    </xf>
    <xf numFmtId="0" fontId="60" fillId="10" borderId="86" xfId="0" applyFont="1" applyFill="1" applyBorder="1" applyAlignment="1">
      <alignment horizontal="center"/>
    </xf>
    <xf numFmtId="0" fontId="60" fillId="10" borderId="86" xfId="0" applyFont="1" applyFill="1" applyBorder="1"/>
    <xf numFmtId="0" fontId="60" fillId="10" borderId="89" xfId="0" applyFont="1" applyFill="1" applyBorder="1"/>
    <xf numFmtId="0" fontId="60" fillId="12" borderId="89" xfId="0" applyFont="1" applyFill="1" applyBorder="1"/>
    <xf numFmtId="0" fontId="60" fillId="10" borderId="226" xfId="0" applyFont="1" applyFill="1" applyBorder="1"/>
    <xf numFmtId="0" fontId="60" fillId="12" borderId="226" xfId="0" applyFont="1" applyFill="1" applyBorder="1"/>
    <xf numFmtId="0" fontId="60" fillId="12" borderId="80" xfId="0" applyFont="1" applyFill="1" applyBorder="1"/>
    <xf numFmtId="0" fontId="60" fillId="12" borderId="79" xfId="0" applyFont="1" applyFill="1" applyBorder="1"/>
    <xf numFmtId="0" fontId="68" fillId="12" borderId="83" xfId="0" applyFont="1" applyFill="1" applyBorder="1" applyAlignment="1">
      <alignment horizontal="center"/>
    </xf>
    <xf numFmtId="0" fontId="68" fillId="12" borderId="103" xfId="0" applyFont="1" applyFill="1" applyBorder="1" applyAlignment="1">
      <alignment horizontal="center"/>
    </xf>
    <xf numFmtId="0" fontId="60" fillId="12" borderId="103" xfId="0" applyFont="1" applyFill="1" applyBorder="1"/>
    <xf numFmtId="0" fontId="69" fillId="12" borderId="0" xfId="0" applyFont="1" applyFill="1" applyAlignment="1">
      <alignment horizontal="left" vertical="center"/>
    </xf>
    <xf numFmtId="0" fontId="60" fillId="12" borderId="93" xfId="0" applyFont="1" applyFill="1" applyBorder="1"/>
    <xf numFmtId="0" fontId="60" fillId="12" borderId="102" xfId="0" applyFont="1" applyFill="1" applyBorder="1"/>
    <xf numFmtId="0" fontId="69" fillId="12" borderId="0" xfId="0" applyFont="1" applyFill="1" applyAlignment="1">
      <alignment vertical="center"/>
    </xf>
    <xf numFmtId="0" fontId="75" fillId="12" borderId="0" xfId="0" applyFont="1" applyFill="1"/>
    <xf numFmtId="0" fontId="68" fillId="12" borderId="0" xfId="0" applyFont="1" applyFill="1" applyAlignment="1">
      <alignment horizontal="center"/>
    </xf>
    <xf numFmtId="0" fontId="63" fillId="3" borderId="85" xfId="0" applyFont="1" applyFill="1" applyBorder="1"/>
    <xf numFmtId="0" fontId="63" fillId="3" borderId="85" xfId="0" applyFont="1" applyFill="1" applyBorder="1" applyAlignment="1">
      <alignment wrapText="1"/>
    </xf>
    <xf numFmtId="0" fontId="63" fillId="3" borderId="90" xfId="0" applyFont="1" applyFill="1" applyBorder="1" applyAlignment="1">
      <alignment wrapText="1"/>
    </xf>
    <xf numFmtId="0" fontId="59" fillId="12" borderId="0" xfId="0" applyFont="1" applyFill="1" applyAlignment="1">
      <alignment vertical="center"/>
    </xf>
    <xf numFmtId="0" fontId="70" fillId="12" borderId="0" xfId="0" applyFont="1" applyFill="1"/>
    <xf numFmtId="0" fontId="60" fillId="12" borderId="101" xfId="0" quotePrefix="1" applyFont="1" applyFill="1" applyBorder="1" applyAlignment="1">
      <alignment vertical="top" wrapText="1"/>
    </xf>
    <xf numFmtId="0" fontId="60" fillId="12" borderId="0" xfId="0" quotePrefix="1" applyFont="1" applyFill="1" applyAlignment="1">
      <alignment vertical="top" wrapText="1"/>
    </xf>
    <xf numFmtId="0" fontId="65" fillId="12" borderId="104" xfId="0" applyFont="1" applyFill="1" applyBorder="1" applyAlignment="1">
      <alignment horizontal="center"/>
    </xf>
    <xf numFmtId="0" fontId="65" fillId="12" borderId="83" xfId="0" applyFont="1" applyFill="1" applyBorder="1" applyAlignment="1">
      <alignment horizontal="center"/>
    </xf>
    <xf numFmtId="0" fontId="69" fillId="12" borderId="104" xfId="0" applyFont="1" applyFill="1" applyBorder="1" applyAlignment="1">
      <alignment vertical="center"/>
    </xf>
    <xf numFmtId="0" fontId="55" fillId="12" borderId="90" xfId="0" applyFont="1" applyFill="1" applyBorder="1"/>
    <xf numFmtId="1" fontId="55" fillId="12" borderId="98" xfId="0" applyNumberFormat="1" applyFont="1" applyFill="1" applyBorder="1" applyAlignment="1">
      <alignment horizontal="center"/>
    </xf>
    <xf numFmtId="0" fontId="55" fillId="12" borderId="92" xfId="0" applyFont="1" applyFill="1" applyBorder="1"/>
    <xf numFmtId="1" fontId="55" fillId="12" borderId="95" xfId="0" applyNumberFormat="1" applyFont="1" applyFill="1" applyBorder="1" applyAlignment="1">
      <alignment horizontal="center"/>
    </xf>
    <xf numFmtId="0" fontId="55" fillId="12" borderId="81" xfId="0" applyFont="1" applyFill="1" applyBorder="1"/>
    <xf numFmtId="2" fontId="55" fillId="12" borderId="84" xfId="0" applyNumberFormat="1" applyFont="1" applyFill="1" applyBorder="1" applyAlignment="1">
      <alignment horizontal="center"/>
    </xf>
    <xf numFmtId="0" fontId="55" fillId="12" borderId="84" xfId="0" applyFont="1" applyFill="1" applyBorder="1"/>
    <xf numFmtId="0" fontId="55" fillId="12" borderId="0" xfId="0" applyFont="1" applyFill="1" applyAlignment="1">
      <alignment horizontal="center" wrapText="1"/>
    </xf>
    <xf numFmtId="10" fontId="55" fillId="12" borderId="0" xfId="0" applyNumberFormat="1" applyFont="1" applyFill="1" applyAlignment="1">
      <alignment horizontal="center"/>
    </xf>
    <xf numFmtId="1" fontId="64" fillId="12" borderId="84" xfId="0" applyNumberFormat="1" applyFont="1" applyFill="1" applyBorder="1" applyAlignment="1">
      <alignment horizontal="center"/>
    </xf>
    <xf numFmtId="1" fontId="64" fillId="12" borderId="81" xfId="0" applyNumberFormat="1" applyFont="1" applyFill="1" applyBorder="1" applyAlignment="1">
      <alignment horizontal="center"/>
    </xf>
    <xf numFmtId="0" fontId="64" fillId="12" borderId="81" xfId="0" applyFont="1" applyFill="1" applyBorder="1" applyAlignment="1">
      <alignment horizontal="center"/>
    </xf>
    <xf numFmtId="0" fontId="64" fillId="12" borderId="0" xfId="0" applyFont="1" applyFill="1" applyAlignment="1">
      <alignment horizontal="center"/>
    </xf>
    <xf numFmtId="0" fontId="55" fillId="12" borderId="81" xfId="0" applyFont="1" applyFill="1" applyBorder="1" applyAlignment="1">
      <alignment horizontal="left"/>
    </xf>
    <xf numFmtId="2" fontId="64" fillId="0" borderId="83" xfId="0" applyNumberFormat="1" applyFont="1" applyBorder="1" applyAlignment="1">
      <alignment horizontal="center"/>
    </xf>
    <xf numFmtId="0" fontId="55" fillId="0" borderId="81" xfId="0" applyFont="1" applyBorder="1" applyAlignment="1">
      <alignment horizontal="left"/>
    </xf>
    <xf numFmtId="167" fontId="55" fillId="0" borderId="0" xfId="0" applyNumberFormat="1" applyFont="1" applyAlignment="1">
      <alignment horizontal="center"/>
    </xf>
    <xf numFmtId="175" fontId="55" fillId="0" borderId="0" xfId="0" applyNumberFormat="1" applyFont="1" applyAlignment="1">
      <alignment horizontal="center"/>
    </xf>
    <xf numFmtId="0" fontId="55" fillId="0" borderId="73" xfId="0" applyFont="1" applyBorder="1"/>
    <xf numFmtId="0" fontId="55" fillId="12" borderId="74" xfId="0" applyFont="1" applyFill="1" applyBorder="1"/>
    <xf numFmtId="0" fontId="55" fillId="0" borderId="74" xfId="0" applyFont="1" applyBorder="1"/>
    <xf numFmtId="0" fontId="55" fillId="0" borderId="75" xfId="0" applyFont="1" applyBorder="1"/>
    <xf numFmtId="0" fontId="55" fillId="0" borderId="36" xfId="0" applyFont="1" applyBorder="1"/>
    <xf numFmtId="0" fontId="55" fillId="0" borderId="35" xfId="0" applyFont="1" applyBorder="1"/>
    <xf numFmtId="0" fontId="55" fillId="12" borderId="71" xfId="0" applyFont="1" applyFill="1" applyBorder="1"/>
    <xf numFmtId="0" fontId="55" fillId="12" borderId="4" xfId="0" applyFont="1" applyFill="1" applyBorder="1" applyAlignment="1">
      <alignment horizontal="center"/>
    </xf>
    <xf numFmtId="0" fontId="55" fillId="12" borderId="4" xfId="0" applyFont="1" applyFill="1" applyBorder="1"/>
    <xf numFmtId="0" fontId="55" fillId="12" borderId="72" xfId="0" applyFont="1" applyFill="1" applyBorder="1"/>
    <xf numFmtId="0" fontId="55" fillId="12" borderId="34" xfId="0" applyFont="1" applyFill="1" applyBorder="1"/>
    <xf numFmtId="0" fontId="55" fillId="12" borderId="33" xfId="0" applyFont="1" applyFill="1" applyBorder="1"/>
    <xf numFmtId="0" fontId="55" fillId="12" borderId="19" xfId="0" applyFont="1" applyFill="1" applyBorder="1"/>
    <xf numFmtId="0" fontId="55" fillId="12" borderId="1" xfId="0" applyFont="1" applyFill="1" applyBorder="1" applyAlignment="1">
      <alignment horizontal="center"/>
    </xf>
    <xf numFmtId="0" fontId="55" fillId="12" borderId="1" xfId="0" applyFont="1" applyFill="1" applyBorder="1"/>
    <xf numFmtId="0" fontId="55" fillId="12" borderId="18" xfId="0" applyFont="1" applyFill="1" applyBorder="1"/>
    <xf numFmtId="0" fontId="55" fillId="0" borderId="112" xfId="0" applyFont="1" applyBorder="1"/>
    <xf numFmtId="0" fontId="55" fillId="0" borderId="113" xfId="0" applyFont="1" applyBorder="1"/>
    <xf numFmtId="1" fontId="55" fillId="0" borderId="0" xfId="0" applyNumberFormat="1" applyFont="1" applyAlignment="1">
      <alignment horizontal="center"/>
    </xf>
    <xf numFmtId="0" fontId="46" fillId="3" borderId="131" xfId="0" applyFont="1" applyFill="1" applyBorder="1" applyAlignment="1">
      <alignment vertical="top" readingOrder="1"/>
    </xf>
    <xf numFmtId="0" fontId="46" fillId="3" borderId="132" xfId="0" applyFont="1" applyFill="1" applyBorder="1" applyAlignment="1">
      <alignment vertical="top" readingOrder="1"/>
    </xf>
    <xf numFmtId="0" fontId="46" fillId="3" borderId="132" xfId="0" applyFont="1" applyFill="1" applyBorder="1" applyAlignment="1">
      <alignment horizontal="center" vertical="top" readingOrder="1"/>
    </xf>
    <xf numFmtId="0" fontId="46" fillId="3" borderId="133" xfId="0" applyFont="1" applyFill="1" applyBorder="1" applyAlignment="1">
      <alignment vertical="top" wrapText="1" readingOrder="1"/>
    </xf>
    <xf numFmtId="0" fontId="49" fillId="0" borderId="134" xfId="0" applyFont="1" applyBorder="1"/>
    <xf numFmtId="0" fontId="49" fillId="0" borderId="135" xfId="0" applyFont="1" applyBorder="1"/>
    <xf numFmtId="0" fontId="49" fillId="0" borderId="135" xfId="0" applyFont="1" applyBorder="1" applyAlignment="1">
      <alignment horizontal="center"/>
    </xf>
    <xf numFmtId="0" fontId="1" fillId="0" borderId="135" xfId="11" applyBorder="1" applyProtection="1"/>
    <xf numFmtId="0" fontId="49" fillId="0" borderId="136" xfId="0" applyFont="1" applyBorder="1"/>
    <xf numFmtId="0" fontId="49" fillId="0" borderId="129" xfId="0" applyFont="1" applyBorder="1"/>
    <xf numFmtId="0" fontId="49" fillId="0" borderId="125" xfId="0" applyFont="1" applyBorder="1"/>
    <xf numFmtId="0" fontId="49" fillId="0" borderId="125" xfId="0" applyFont="1" applyBorder="1" applyAlignment="1">
      <alignment horizontal="center"/>
    </xf>
    <xf numFmtId="0" fontId="49" fillId="0" borderId="130" xfId="0" applyFont="1" applyBorder="1"/>
    <xf numFmtId="2" fontId="49" fillId="0" borderId="125" xfId="0" applyNumberFormat="1" applyFont="1" applyBorder="1" applyAlignment="1">
      <alignment horizontal="center"/>
    </xf>
    <xf numFmtId="0" fontId="48" fillId="0" borderId="125" xfId="11" applyFont="1" applyBorder="1" applyProtection="1"/>
    <xf numFmtId="0" fontId="41" fillId="0" borderId="129" xfId="0" applyFont="1" applyBorder="1"/>
    <xf numFmtId="0" fontId="41" fillId="0" borderId="125" xfId="0" applyFont="1" applyBorder="1" applyAlignment="1">
      <alignment wrapText="1"/>
    </xf>
    <xf numFmtId="0" fontId="41" fillId="0" borderId="125" xfId="0" applyFont="1" applyBorder="1" applyAlignment="1">
      <alignment horizontal="center"/>
    </xf>
    <xf numFmtId="0" fontId="41" fillId="0" borderId="125" xfId="0" applyFont="1" applyBorder="1"/>
    <xf numFmtId="0" fontId="47" fillId="0" borderId="125" xfId="0" applyFont="1" applyBorder="1"/>
    <xf numFmtId="0" fontId="41" fillId="0" borderId="130" xfId="0" applyFont="1" applyBorder="1"/>
    <xf numFmtId="4" fontId="41" fillId="0" borderId="125" xfId="0" applyNumberFormat="1" applyFont="1" applyBorder="1" applyAlignment="1">
      <alignment horizontal="center"/>
    </xf>
    <xf numFmtId="0" fontId="41" fillId="0" borderId="129" xfId="0" applyFont="1" applyBorder="1" applyAlignment="1">
      <alignment vertical="top"/>
    </xf>
    <xf numFmtId="0" fontId="41" fillId="0" borderId="125" xfId="0" applyFont="1" applyBorder="1" applyAlignment="1">
      <alignment vertical="top"/>
    </xf>
    <xf numFmtId="0" fontId="41" fillId="0" borderId="125" xfId="0" applyFont="1" applyBorder="1" applyAlignment="1">
      <alignment horizontal="center" vertical="top"/>
    </xf>
    <xf numFmtId="0" fontId="41" fillId="0" borderId="125" xfId="0" applyFont="1" applyBorder="1" applyAlignment="1">
      <alignment horizontal="center" vertical="top" wrapText="1"/>
    </xf>
    <xf numFmtId="0" fontId="41" fillId="0" borderId="130" xfId="0" applyFont="1" applyBorder="1" applyAlignment="1">
      <alignment vertical="top" wrapText="1"/>
    </xf>
    <xf numFmtId="0" fontId="41" fillId="0" borderId="125" xfId="0" applyFont="1" applyBorder="1" applyAlignment="1">
      <alignment horizontal="left" vertical="top" wrapText="1"/>
    </xf>
    <xf numFmtId="0" fontId="48" fillId="0" borderId="125" xfId="11" applyFont="1" applyBorder="1" applyAlignment="1" applyProtection="1">
      <alignment vertical="top"/>
    </xf>
    <xf numFmtId="0" fontId="41" fillId="5" borderId="125" xfId="0" applyFont="1" applyFill="1" applyBorder="1"/>
    <xf numFmtId="0" fontId="41" fillId="5" borderId="125" xfId="0" applyFont="1" applyFill="1" applyBorder="1" applyAlignment="1">
      <alignment horizontal="center"/>
    </xf>
    <xf numFmtId="0" fontId="48" fillId="5" borderId="125" xfId="11" applyFont="1" applyFill="1" applyBorder="1" applyProtection="1"/>
    <xf numFmtId="0" fontId="48" fillId="0" borderId="125" xfId="11" applyFont="1" applyFill="1" applyBorder="1" applyProtection="1"/>
    <xf numFmtId="0" fontId="48" fillId="0" borderId="125" xfId="8" applyFont="1" applyBorder="1" applyAlignment="1" applyProtection="1">
      <alignment wrapText="1"/>
    </xf>
    <xf numFmtId="0" fontId="50" fillId="0" borderId="125" xfId="0" applyFont="1" applyBorder="1"/>
    <xf numFmtId="1" fontId="49" fillId="0" borderId="125" xfId="0" applyNumberFormat="1" applyFont="1" applyBorder="1" applyAlignment="1">
      <alignment horizontal="center"/>
    </xf>
    <xf numFmtId="0" fontId="47" fillId="5" borderId="125" xfId="0" applyFont="1" applyFill="1" applyBorder="1"/>
    <xf numFmtId="0" fontId="41" fillId="5" borderId="130" xfId="0" applyFont="1" applyFill="1" applyBorder="1"/>
    <xf numFmtId="0" fontId="41" fillId="0" borderId="125" xfId="0" applyFont="1" applyBorder="1" applyAlignment="1">
      <alignment horizontal="center" wrapText="1"/>
    </xf>
    <xf numFmtId="0" fontId="41" fillId="6" borderId="125" xfId="0" applyFont="1" applyFill="1" applyBorder="1" applyAlignment="1">
      <alignment horizontal="center"/>
    </xf>
    <xf numFmtId="0" fontId="41" fillId="8" borderId="125" xfId="0" applyFont="1" applyFill="1" applyBorder="1" applyAlignment="1">
      <alignment horizontal="center"/>
    </xf>
    <xf numFmtId="0" fontId="41" fillId="7" borderId="125" xfId="0" applyFont="1" applyFill="1" applyBorder="1" applyAlignment="1">
      <alignment horizontal="center"/>
    </xf>
    <xf numFmtId="0" fontId="48" fillId="0" borderId="125" xfId="11" applyFont="1" applyBorder="1" applyAlignment="1" applyProtection="1">
      <alignment horizontal="left"/>
    </xf>
    <xf numFmtId="0" fontId="41" fillId="0" borderId="125" xfId="0" applyFont="1" applyBorder="1" applyAlignment="1">
      <alignment horizontal="left"/>
    </xf>
    <xf numFmtId="0" fontId="41" fillId="0" borderId="130" xfId="0" applyFont="1" applyBorder="1" applyAlignment="1">
      <alignment horizontal="left"/>
    </xf>
    <xf numFmtId="0" fontId="41" fillId="9" borderId="125" xfId="0" applyFont="1" applyFill="1" applyBorder="1" applyAlignment="1">
      <alignment horizontal="center"/>
    </xf>
    <xf numFmtId="0" fontId="41" fillId="16" borderId="125" xfId="0" applyFont="1" applyFill="1" applyBorder="1" applyAlignment="1">
      <alignment horizontal="center"/>
    </xf>
    <xf numFmtId="0" fontId="41" fillId="0" borderId="130" xfId="0" applyFont="1" applyBorder="1" applyAlignment="1">
      <alignment horizontal="center"/>
    </xf>
    <xf numFmtId="0" fontId="48" fillId="0" borderId="0" xfId="11" applyFont="1" applyAlignment="1" applyProtection="1">
      <alignment horizontal="center"/>
    </xf>
    <xf numFmtId="0" fontId="49" fillId="12" borderId="125" xfId="0" applyFont="1" applyFill="1" applyBorder="1"/>
    <xf numFmtId="0" fontId="48" fillId="0" borderId="125" xfId="11" applyFont="1" applyFill="1" applyBorder="1" applyAlignment="1" applyProtection="1">
      <alignment vertical="top"/>
    </xf>
    <xf numFmtId="0" fontId="39" fillId="3" borderId="1" xfId="0" applyFont="1" applyFill="1" applyBorder="1"/>
    <xf numFmtId="0" fontId="0" fillId="12" borderId="1" xfId="0" applyFill="1" applyBorder="1"/>
    <xf numFmtId="0" fontId="45" fillId="12" borderId="1" xfId="0" applyFont="1" applyFill="1" applyBorder="1"/>
    <xf numFmtId="0" fontId="44" fillId="12" borderId="0" xfId="11" applyFont="1" applyFill="1" applyProtection="1"/>
    <xf numFmtId="0" fontId="1" fillId="12" borderId="0" xfId="11" applyFill="1" applyProtection="1"/>
    <xf numFmtId="0" fontId="0" fillId="0" borderId="1" xfId="5" applyFont="1" applyBorder="1" applyAlignment="1">
      <alignment wrapText="1"/>
    </xf>
    <xf numFmtId="0" fontId="0" fillId="0" borderId="1" xfId="5" applyFont="1" applyBorder="1" applyAlignment="1">
      <alignment horizontal="center" wrapText="1"/>
    </xf>
    <xf numFmtId="0" fontId="0" fillId="0" borderId="0" xfId="5" applyFont="1" applyAlignment="1">
      <alignment wrapText="1"/>
    </xf>
    <xf numFmtId="0" fontId="0" fillId="0" borderId="0" xfId="5" applyFont="1" applyAlignment="1">
      <alignment horizontal="center" wrapText="1"/>
    </xf>
    <xf numFmtId="0" fontId="0" fillId="12" borderId="1" xfId="5" applyFont="1" applyFill="1" applyBorder="1" applyAlignment="1">
      <alignment wrapText="1"/>
    </xf>
    <xf numFmtId="0" fontId="0" fillId="12" borderId="1" xfId="5" applyFont="1" applyFill="1" applyBorder="1" applyAlignment="1">
      <alignment horizontal="center" wrapText="1"/>
    </xf>
    <xf numFmtId="0" fontId="1" fillId="12" borderId="0" xfId="11" applyFill="1" applyBorder="1" applyAlignment="1" applyProtection="1"/>
    <xf numFmtId="0" fontId="0" fillId="12" borderId="0" xfId="0" applyFill="1"/>
    <xf numFmtId="0" fontId="39" fillId="3" borderId="4" xfId="0" applyFont="1" applyFill="1" applyBorder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2" fontId="0" fillId="0" borderId="127" xfId="0" applyNumberFormat="1" applyBorder="1"/>
    <xf numFmtId="0" fontId="40" fillId="0" borderId="128" xfId="0" applyFont="1" applyBorder="1"/>
    <xf numFmtId="0" fontId="0" fillId="0" borderId="1" xfId="1" applyNumberFormat="1" applyFont="1" applyFill="1" applyBorder="1" applyProtection="1"/>
    <xf numFmtId="9" fontId="0" fillId="0" borderId="1" xfId="1" applyFont="1" applyFill="1" applyBorder="1" applyProtection="1"/>
    <xf numFmtId="0" fontId="0" fillId="0" borderId="208" xfId="0" applyBorder="1"/>
    <xf numFmtId="9" fontId="0" fillId="0" borderId="2" xfId="1" applyFont="1" applyFill="1" applyBorder="1" applyProtection="1"/>
    <xf numFmtId="0" fontId="0" fillId="0" borderId="141" xfId="0" applyBorder="1"/>
    <xf numFmtId="0" fontId="2" fillId="20" borderId="161" xfId="0" applyFont="1" applyFill="1" applyBorder="1" applyAlignment="1">
      <alignment horizontal="center" vertical="center" wrapText="1"/>
    </xf>
    <xf numFmtId="0" fontId="2" fillId="20" borderId="162" xfId="0" applyFont="1" applyFill="1" applyBorder="1" applyAlignment="1">
      <alignment horizontal="center" vertical="center" wrapText="1"/>
    </xf>
    <xf numFmtId="0" fontId="2" fillId="20" borderId="163" xfId="0" applyFont="1" applyFill="1" applyBorder="1" applyAlignment="1">
      <alignment horizontal="center" vertical="center" wrapText="1"/>
    </xf>
    <xf numFmtId="0" fontId="3" fillId="0" borderId="203" xfId="0" applyFont="1" applyBorder="1" applyAlignment="1">
      <alignment horizontal="center" vertical="center"/>
    </xf>
    <xf numFmtId="9" fontId="3" fillId="0" borderId="202" xfId="0" applyNumberFormat="1" applyFont="1" applyBorder="1" applyAlignment="1">
      <alignment horizontal="center" vertical="center"/>
    </xf>
    <xf numFmtId="4" fontId="3" fillId="0" borderId="202" xfId="0" applyNumberFormat="1" applyFont="1" applyBorder="1" applyAlignment="1">
      <alignment horizontal="center" vertical="center"/>
    </xf>
    <xf numFmtId="0" fontId="3" fillId="0" borderId="202" xfId="0" applyFont="1" applyBorder="1" applyAlignment="1">
      <alignment horizontal="center" vertical="center"/>
    </xf>
    <xf numFmtId="0" fontId="18" fillId="0" borderId="210" xfId="0" applyFont="1" applyBorder="1" applyAlignment="1">
      <alignment horizontal="left" vertical="center"/>
    </xf>
    <xf numFmtId="0" fontId="3" fillId="0" borderId="142" xfId="0" applyFont="1" applyBorder="1" applyAlignment="1">
      <alignment horizontal="center" vertical="center"/>
    </xf>
    <xf numFmtId="9" fontId="3" fillId="0" borderId="13" xfId="0" applyNumberFormat="1" applyFont="1" applyBorder="1" applyAlignment="1">
      <alignment horizontal="center" vertical="center"/>
    </xf>
    <xf numFmtId="4" fontId="3" fillId="0" borderId="13" xfId="0" applyNumberFormat="1" applyFont="1" applyBorder="1" applyAlignment="1">
      <alignment horizontal="center" vertical="center"/>
    </xf>
    <xf numFmtId="0" fontId="3" fillId="0" borderId="171" xfId="0" applyFont="1" applyBorder="1" applyAlignment="1">
      <alignment horizontal="center" vertical="center"/>
    </xf>
    <xf numFmtId="0" fontId="3" fillId="0" borderId="144" xfId="0" applyFont="1" applyBorder="1" applyAlignment="1">
      <alignment horizontal="center" vertical="center"/>
    </xf>
    <xf numFmtId="9" fontId="3" fillId="0" borderId="25" xfId="0" applyNumberFormat="1" applyFont="1" applyBorder="1" applyAlignment="1">
      <alignment horizontal="center" vertical="center"/>
    </xf>
    <xf numFmtId="4" fontId="3" fillId="0" borderId="25" xfId="0" applyNumberFormat="1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43" xfId="0" applyFont="1" applyBorder="1" applyAlignment="1">
      <alignment horizontal="left" vertical="center" wrapText="1"/>
    </xf>
    <xf numFmtId="0" fontId="3" fillId="0" borderId="146" xfId="0" applyFont="1" applyBorder="1" applyAlignment="1">
      <alignment horizontal="center" vertical="center"/>
    </xf>
    <xf numFmtId="0" fontId="3" fillId="0" borderId="147" xfId="0" applyFont="1" applyBorder="1" applyAlignment="1">
      <alignment horizontal="center" vertical="center"/>
    </xf>
    <xf numFmtId="0" fontId="3" fillId="0" borderId="148" xfId="0" applyFont="1" applyBorder="1" applyAlignment="1">
      <alignment horizontal="left" vertical="center"/>
    </xf>
    <xf numFmtId="0" fontId="2" fillId="20" borderId="110" xfId="0" applyFont="1" applyFill="1" applyBorder="1" applyAlignment="1">
      <alignment horizontal="center" vertical="center" wrapText="1"/>
    </xf>
    <xf numFmtId="0" fontId="2" fillId="20" borderId="111" xfId="0" applyFont="1" applyFill="1" applyBorder="1" applyAlignment="1">
      <alignment horizontal="center" vertical="center" wrapText="1"/>
    </xf>
    <xf numFmtId="0" fontId="0" fillId="0" borderId="17" xfId="0" applyBorder="1"/>
    <xf numFmtId="0" fontId="3" fillId="0" borderId="1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20" borderId="126" xfId="0" applyFont="1" applyFill="1" applyBorder="1" applyAlignment="1">
      <alignment horizontal="center" vertical="center" wrapText="1"/>
    </xf>
    <xf numFmtId="0" fontId="2" fillId="20" borderId="127" xfId="0" applyFont="1" applyFill="1" applyBorder="1" applyAlignment="1">
      <alignment horizontal="center" vertical="center" wrapText="1"/>
    </xf>
    <xf numFmtId="0" fontId="2" fillId="20" borderId="128" xfId="0" applyFont="1" applyFill="1" applyBorder="1" applyAlignment="1">
      <alignment horizontal="center" vertical="center" wrapText="1"/>
    </xf>
    <xf numFmtId="0" fontId="0" fillId="0" borderId="114" xfId="0" applyBorder="1" applyAlignment="1">
      <alignment horizontal="center"/>
    </xf>
    <xf numFmtId="0" fontId="3" fillId="0" borderId="115" xfId="0" applyFont="1" applyBorder="1" applyAlignment="1">
      <alignment horizontal="center" vertical="center"/>
    </xf>
    <xf numFmtId="0" fontId="0" fillId="0" borderId="116" xfId="0" applyBorder="1" applyAlignment="1">
      <alignment horizontal="center"/>
    </xf>
    <xf numFmtId="0" fontId="3" fillId="0" borderId="117" xfId="0" applyFon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0" fontId="3" fillId="0" borderId="118" xfId="0" applyFont="1" applyBorder="1" applyAlignment="1">
      <alignment horizontal="center" vertical="center"/>
    </xf>
    <xf numFmtId="1" fontId="0" fillId="0" borderId="0" xfId="0" applyNumberFormat="1" applyAlignment="1">
      <alignment horizontal="center"/>
    </xf>
    <xf numFmtId="0" fontId="40" fillId="0" borderId="119" xfId="0" applyFont="1" applyBorder="1" applyAlignment="1">
      <alignment horizontal="right" vertical="center"/>
    </xf>
    <xf numFmtId="2" fontId="40" fillId="0" borderId="120" xfId="0" applyNumberFormat="1" applyFont="1" applyBorder="1" applyAlignment="1">
      <alignment horizontal="center"/>
    </xf>
    <xf numFmtId="0" fontId="40" fillId="0" borderId="121" xfId="0" applyFont="1" applyBorder="1" applyAlignment="1">
      <alignment horizontal="center" vertical="center"/>
    </xf>
    <xf numFmtId="2" fontId="14" fillId="0" borderId="65" xfId="4" applyNumberFormat="1" applyFont="1" applyBorder="1" applyAlignment="1">
      <alignment horizontal="left"/>
    </xf>
    <xf numFmtId="2" fontId="14" fillId="0" borderId="27" xfId="4" applyNumberFormat="1" applyFont="1" applyBorder="1" applyAlignment="1">
      <alignment horizontal="center"/>
    </xf>
    <xf numFmtId="2" fontId="14" fillId="0" borderId="26" xfId="4" applyNumberFormat="1" applyFont="1" applyBorder="1"/>
    <xf numFmtId="0" fontId="14" fillId="0" borderId="19" xfId="4" applyFont="1" applyBorder="1" applyAlignment="1">
      <alignment horizontal="left"/>
    </xf>
    <xf numFmtId="0" fontId="14" fillId="0" borderId="18" xfId="4" applyFont="1" applyBorder="1" applyAlignment="1">
      <alignment horizontal="left"/>
    </xf>
    <xf numFmtId="2" fontId="14" fillId="0" borderId="19" xfId="4" applyNumberFormat="1" applyFont="1" applyBorder="1"/>
    <xf numFmtId="2" fontId="14" fillId="0" borderId="18" xfId="4" applyNumberFormat="1" applyFont="1" applyBorder="1"/>
    <xf numFmtId="2" fontId="14" fillId="0" borderId="17" xfId="4" applyNumberFormat="1" applyFont="1" applyBorder="1"/>
    <xf numFmtId="2" fontId="14" fillId="0" borderId="16" xfId="4" applyNumberFormat="1" applyFont="1" applyBorder="1" applyAlignment="1">
      <alignment horizontal="center"/>
    </xf>
    <xf numFmtId="2" fontId="14" fillId="0" borderId="15" xfId="4" applyNumberFormat="1" applyFont="1" applyBorder="1"/>
    <xf numFmtId="0" fontId="6" fillId="0" borderId="82" xfId="0" applyFont="1" applyBorder="1"/>
    <xf numFmtId="0" fontId="6" fillId="0" borderId="84" xfId="0" applyFont="1" applyBorder="1" applyAlignment="1">
      <alignment wrapText="1"/>
    </xf>
    <xf numFmtId="0" fontId="0" fillId="0" borderId="85" xfId="0" applyBorder="1"/>
    <xf numFmtId="0" fontId="1" fillId="0" borderId="0" xfId="11" applyProtection="1"/>
    <xf numFmtId="0" fontId="12" fillId="0" borderId="134" xfId="4" applyFont="1" applyBorder="1"/>
    <xf numFmtId="165" fontId="0" fillId="0" borderId="135" xfId="0" applyNumberFormat="1" applyBorder="1"/>
    <xf numFmtId="0" fontId="12" fillId="0" borderId="137" xfId="4" applyFont="1" applyBorder="1"/>
    <xf numFmtId="165" fontId="0" fillId="0" borderId="138" xfId="0" applyNumberFormat="1" applyBorder="1"/>
    <xf numFmtId="0" fontId="14" fillId="3" borderId="137" xfId="4" applyFont="1" applyFill="1" applyBorder="1"/>
    <xf numFmtId="0" fontId="22" fillId="3" borderId="138" xfId="4" applyFont="1" applyFill="1" applyBorder="1"/>
    <xf numFmtId="0" fontId="22" fillId="3" borderId="139" xfId="4" applyFont="1" applyFill="1" applyBorder="1"/>
    <xf numFmtId="0" fontId="10" fillId="3" borderId="126" xfId="0" applyFont="1" applyFill="1" applyBorder="1" applyAlignment="1">
      <alignment wrapText="1"/>
    </xf>
    <xf numFmtId="0" fontId="10" fillId="3" borderId="127" xfId="0" applyFont="1" applyFill="1" applyBorder="1" applyAlignment="1">
      <alignment wrapText="1"/>
    </xf>
    <xf numFmtId="0" fontId="10" fillId="3" borderId="128" xfId="0" applyFont="1" applyFill="1" applyBorder="1" applyAlignment="1">
      <alignment wrapText="1"/>
    </xf>
    <xf numFmtId="0" fontId="0" fillId="0" borderId="126" xfId="0" applyBorder="1"/>
    <xf numFmtId="0" fontId="0" fillId="0" borderId="127" xfId="0" applyBorder="1"/>
    <xf numFmtId="9" fontId="0" fillId="0" borderId="127" xfId="1" applyFont="1" applyBorder="1" applyProtection="1"/>
    <xf numFmtId="9" fontId="0" fillId="0" borderId="127" xfId="1" applyFont="1" applyFill="1" applyBorder="1" applyProtection="1"/>
    <xf numFmtId="0" fontId="10" fillId="3" borderId="82" xfId="0" applyFont="1" applyFill="1" applyBorder="1" applyAlignment="1">
      <alignment wrapText="1"/>
    </xf>
    <xf numFmtId="2" fontId="14" fillId="0" borderId="209" xfId="4" applyNumberFormat="1" applyFont="1" applyBorder="1"/>
    <xf numFmtId="0" fontId="82" fillId="3" borderId="102" xfId="4" applyFont="1" applyFill="1" applyBorder="1"/>
    <xf numFmtId="0" fontId="11" fillId="0" borderId="102" xfId="4" applyFont="1" applyBorder="1"/>
    <xf numFmtId="0" fontId="10" fillId="3" borderId="1" xfId="0" applyFont="1" applyFill="1" applyBorder="1" applyAlignment="1">
      <alignment wrapText="1"/>
    </xf>
    <xf numFmtId="2" fontId="0" fillId="0" borderId="1" xfId="0" applyNumberFormat="1" applyBorder="1"/>
    <xf numFmtId="0" fontId="81" fillId="3" borderId="1" xfId="0" applyFont="1" applyFill="1" applyBorder="1"/>
    <xf numFmtId="9" fontId="0" fillId="0" borderId="117" xfId="0" applyNumberFormat="1" applyBorder="1"/>
    <xf numFmtId="0" fontId="22" fillId="3" borderId="137" xfId="4" applyFont="1" applyFill="1" applyBorder="1"/>
    <xf numFmtId="0" fontId="83" fillId="17" borderId="173" xfId="10" applyFont="1" applyFill="1" applyBorder="1"/>
    <xf numFmtId="0" fontId="10" fillId="3" borderId="103" xfId="6" applyFont="1" applyFill="1" applyBorder="1"/>
    <xf numFmtId="0" fontId="10" fillId="3" borderId="93" xfId="6" applyFont="1" applyFill="1" applyBorder="1"/>
    <xf numFmtId="2" fontId="3" fillId="5" borderId="144" xfId="5" applyNumberFormat="1" applyFill="1" applyBorder="1"/>
    <xf numFmtId="2" fontId="3" fillId="5" borderId="145" xfId="5" applyNumberFormat="1" applyFill="1" applyBorder="1"/>
    <xf numFmtId="2" fontId="8" fillId="0" borderId="144" xfId="6" applyNumberFormat="1" applyBorder="1"/>
    <xf numFmtId="0" fontId="8" fillId="0" borderId="149" xfId="6" applyBorder="1"/>
    <xf numFmtId="2" fontId="3" fillId="5" borderId="150" xfId="5" applyNumberFormat="1" applyFill="1" applyBorder="1"/>
    <xf numFmtId="0" fontId="8" fillId="0" borderId="146" xfId="6" applyBorder="1"/>
    <xf numFmtId="0" fontId="8" fillId="0" borderId="148" xfId="6" applyBorder="1"/>
    <xf numFmtId="0" fontId="33" fillId="0" borderId="174" xfId="6" applyFont="1" applyBorder="1"/>
    <xf numFmtId="174" fontId="33" fillId="0" borderId="175" xfId="6" applyNumberFormat="1" applyFont="1" applyBorder="1"/>
    <xf numFmtId="0" fontId="8" fillId="0" borderId="176" xfId="6" applyBorder="1"/>
    <xf numFmtId="0" fontId="33" fillId="0" borderId="177" xfId="6" applyFont="1" applyBorder="1"/>
    <xf numFmtId="0" fontId="8" fillId="0" borderId="178" xfId="6" applyBorder="1"/>
    <xf numFmtId="0" fontId="33" fillId="0" borderId="153" xfId="6" applyFont="1" applyBorder="1"/>
    <xf numFmtId="174" fontId="33" fillId="0" borderId="154" xfId="6" applyNumberFormat="1" applyFont="1" applyBorder="1"/>
    <xf numFmtId="0" fontId="8" fillId="0" borderId="155" xfId="6" applyBorder="1"/>
    <xf numFmtId="0" fontId="37" fillId="3" borderId="179" xfId="6" applyFont="1" applyFill="1" applyBorder="1"/>
    <xf numFmtId="0" fontId="37" fillId="3" borderId="180" xfId="6" applyFont="1" applyFill="1" applyBorder="1"/>
    <xf numFmtId="0" fontId="37" fillId="3" borderId="181" xfId="6" applyFont="1" applyFill="1" applyBorder="1"/>
    <xf numFmtId="0" fontId="36" fillId="11" borderId="184" xfId="6" applyFont="1" applyFill="1" applyBorder="1"/>
    <xf numFmtId="0" fontId="36" fillId="11" borderId="185" xfId="6" applyFont="1" applyFill="1" applyBorder="1"/>
    <xf numFmtId="0" fontId="36" fillId="11" borderId="185" xfId="6" applyFont="1" applyFill="1" applyBorder="1" applyAlignment="1">
      <alignment wrapText="1"/>
    </xf>
    <xf numFmtId="0" fontId="36" fillId="11" borderId="186" xfId="6" applyFont="1" applyFill="1" applyBorder="1" applyAlignment="1">
      <alignment wrapText="1"/>
    </xf>
    <xf numFmtId="0" fontId="31" fillId="0" borderId="146" xfId="6" applyFont="1" applyBorder="1"/>
    <xf numFmtId="164" fontId="32" fillId="0" borderId="154" xfId="7" applyFont="1" applyFill="1" applyBorder="1" applyAlignment="1" applyProtection="1"/>
    <xf numFmtId="170" fontId="32" fillId="0" borderId="154" xfId="6" applyNumberFormat="1" applyFont="1" applyBorder="1" applyAlignment="1">
      <alignment horizontal="left"/>
    </xf>
    <xf numFmtId="170" fontId="32" fillId="0" borderId="155" xfId="6" applyNumberFormat="1" applyFont="1" applyBorder="1" applyAlignment="1">
      <alignment horizontal="left"/>
    </xf>
    <xf numFmtId="0" fontId="24" fillId="0" borderId="0" xfId="5" applyFont="1"/>
    <xf numFmtId="0" fontId="60" fillId="10" borderId="90" xfId="0" applyFont="1" applyFill="1" applyBorder="1" applyAlignment="1" applyProtection="1">
      <alignment horizontal="left"/>
      <protection locked="0"/>
    </xf>
    <xf numFmtId="0" fontId="60" fillId="10" borderId="123" xfId="0" applyFont="1" applyFill="1" applyBorder="1" applyAlignment="1" applyProtection="1">
      <alignment horizontal="left"/>
      <protection locked="0"/>
    </xf>
    <xf numFmtId="0" fontId="60" fillId="10" borderId="92" xfId="0" applyFont="1" applyFill="1" applyBorder="1" applyAlignment="1" applyProtection="1">
      <alignment horizontal="left"/>
      <protection locked="0"/>
    </xf>
    <xf numFmtId="0" fontId="19" fillId="0" borderId="65" xfId="5" applyFont="1" applyBorder="1"/>
    <xf numFmtId="0" fontId="21" fillId="0" borderId="26" xfId="5" applyFont="1" applyBorder="1"/>
    <xf numFmtId="2" fontId="21" fillId="0" borderId="18" xfId="5" applyNumberFormat="1" applyFont="1" applyBorder="1"/>
    <xf numFmtId="2" fontId="19" fillId="0" borderId="18" xfId="5" applyNumberFormat="1" applyFont="1" applyBorder="1"/>
    <xf numFmtId="0" fontId="21" fillId="0" borderId="17" xfId="5" applyFont="1" applyBorder="1"/>
    <xf numFmtId="2" fontId="19" fillId="0" borderId="15" xfId="5" applyNumberFormat="1" applyFont="1" applyBorder="1"/>
    <xf numFmtId="2" fontId="0" fillId="0" borderId="0" xfId="0" applyNumberFormat="1"/>
    <xf numFmtId="165" fontId="0" fillId="0" borderId="0" xfId="0" applyNumberFormat="1"/>
    <xf numFmtId="0" fontId="58" fillId="0" borderId="81" xfId="0" applyFont="1" applyBorder="1"/>
    <xf numFmtId="0" fontId="53" fillId="12" borderId="81" xfId="0" applyFont="1" applyFill="1" applyBorder="1"/>
    <xf numFmtId="0" fontId="59" fillId="0" borderId="82" xfId="0" applyFont="1" applyBorder="1" applyAlignment="1">
      <alignment horizontal="center"/>
    </xf>
    <xf numFmtId="0" fontId="59" fillId="0" borderId="83" xfId="0" applyFont="1" applyBorder="1" applyAlignment="1">
      <alignment horizontal="center"/>
    </xf>
    <xf numFmtId="0" fontId="59" fillId="0" borderId="84" xfId="0" applyFont="1" applyBorder="1" applyAlignment="1">
      <alignment horizontal="center"/>
    </xf>
    <xf numFmtId="176" fontId="58" fillId="0" borderId="82" xfId="0" applyNumberFormat="1" applyFont="1" applyBorder="1" applyAlignment="1">
      <alignment horizontal="center"/>
    </xf>
    <xf numFmtId="176" fontId="58" fillId="0" borderId="84" xfId="0" applyNumberFormat="1" applyFont="1" applyBorder="1" applyAlignment="1">
      <alignment horizontal="center"/>
    </xf>
    <xf numFmtId="0" fontId="60" fillId="12" borderId="90" xfId="0" applyFont="1" applyFill="1" applyBorder="1" applyAlignment="1">
      <alignment horizontal="center" vertical="center"/>
    </xf>
    <xf numFmtId="0" fontId="60" fillId="12" borderId="91" xfId="0" applyFont="1" applyFill="1" applyBorder="1" applyAlignment="1">
      <alignment horizontal="center" vertical="center"/>
    </xf>
    <xf numFmtId="0" fontId="60" fillId="12" borderId="92" xfId="0" applyFont="1" applyFill="1" applyBorder="1" applyAlignment="1">
      <alignment horizontal="center" vertical="center"/>
    </xf>
    <xf numFmtId="0" fontId="55" fillId="10" borderId="85" xfId="0" applyFont="1" applyFill="1" applyBorder="1" applyAlignment="1" applyProtection="1">
      <alignment horizontal="center"/>
      <protection locked="0"/>
    </xf>
    <xf numFmtId="0" fontId="55" fillId="10" borderId="103" xfId="0" applyFont="1" applyFill="1" applyBorder="1" applyAlignment="1" applyProtection="1">
      <alignment horizontal="center"/>
      <protection locked="0"/>
    </xf>
    <xf numFmtId="0" fontId="55" fillId="10" borderId="93" xfId="0" applyFont="1" applyFill="1" applyBorder="1" applyAlignment="1" applyProtection="1">
      <alignment horizontal="center"/>
      <protection locked="0"/>
    </xf>
    <xf numFmtId="0" fontId="55" fillId="10" borderId="101" xfId="0" applyFont="1" applyFill="1" applyBorder="1" applyAlignment="1" applyProtection="1">
      <alignment horizontal="center"/>
      <protection locked="0"/>
    </xf>
    <xf numFmtId="0" fontId="55" fillId="10" borderId="0" xfId="0" applyFont="1" applyFill="1" applyAlignment="1" applyProtection="1">
      <alignment horizontal="center"/>
      <protection locked="0"/>
    </xf>
    <xf numFmtId="0" fontId="55" fillId="10" borderId="96" xfId="0" applyFont="1" applyFill="1" applyBorder="1" applyAlignment="1" applyProtection="1">
      <alignment horizontal="center"/>
      <protection locked="0"/>
    </xf>
    <xf numFmtId="0" fontId="55" fillId="10" borderId="102" xfId="0" applyFont="1" applyFill="1" applyBorder="1" applyAlignment="1" applyProtection="1">
      <alignment horizontal="center"/>
      <protection locked="0"/>
    </xf>
    <xf numFmtId="0" fontId="55" fillId="10" borderId="104" xfId="0" applyFont="1" applyFill="1" applyBorder="1" applyAlignment="1" applyProtection="1">
      <alignment horizontal="center"/>
      <protection locked="0"/>
    </xf>
    <xf numFmtId="0" fontId="55" fillId="10" borderId="97" xfId="0" applyFont="1" applyFill="1" applyBorder="1" applyAlignment="1" applyProtection="1">
      <alignment horizontal="center"/>
      <protection locked="0"/>
    </xf>
    <xf numFmtId="0" fontId="65" fillId="14" borderId="82" xfId="0" applyFont="1" applyFill="1" applyBorder="1" applyAlignment="1">
      <alignment horizontal="center"/>
    </xf>
    <xf numFmtId="0" fontId="65" fillId="14" borderId="83" xfId="0" applyFont="1" applyFill="1" applyBorder="1" applyAlignment="1">
      <alignment horizontal="center"/>
    </xf>
    <xf numFmtId="0" fontId="65" fillId="14" borderId="84" xfId="0" applyFont="1" applyFill="1" applyBorder="1" applyAlignment="1">
      <alignment horizontal="center"/>
    </xf>
    <xf numFmtId="0" fontId="59" fillId="3" borderId="82" xfId="0" applyFont="1" applyFill="1" applyBorder="1" applyAlignment="1">
      <alignment horizontal="center"/>
    </xf>
    <xf numFmtId="0" fontId="59" fillId="3" borderId="83" xfId="0" applyFont="1" applyFill="1" applyBorder="1" applyAlignment="1">
      <alignment horizontal="center"/>
    </xf>
    <xf numFmtId="0" fontId="59" fillId="3" borderId="84" xfId="0" applyFont="1" applyFill="1" applyBorder="1" applyAlignment="1">
      <alignment horizontal="center"/>
    </xf>
    <xf numFmtId="0" fontId="74" fillId="0" borderId="82" xfId="0" applyFont="1" applyBorder="1" applyAlignment="1">
      <alignment horizontal="center" vertical="center"/>
    </xf>
    <xf numFmtId="0" fontId="74" fillId="0" borderId="83" xfId="0" applyFont="1" applyBorder="1" applyAlignment="1">
      <alignment horizontal="center" vertical="center"/>
    </xf>
    <xf numFmtId="0" fontId="74" fillId="0" borderId="84" xfId="0" applyFont="1" applyBorder="1" applyAlignment="1">
      <alignment horizontal="center" vertical="center"/>
    </xf>
    <xf numFmtId="0" fontId="77" fillId="12" borderId="85" xfId="0" applyFont="1" applyFill="1" applyBorder="1" applyAlignment="1">
      <alignment horizontal="left" vertical="center" wrapText="1"/>
    </xf>
    <xf numFmtId="0" fontId="54" fillId="12" borderId="103" xfId="0" applyFont="1" applyFill="1" applyBorder="1" applyAlignment="1">
      <alignment horizontal="left" vertical="center" wrapText="1"/>
    </xf>
    <xf numFmtId="0" fontId="54" fillId="12" borderId="93" xfId="0" applyFont="1" applyFill="1" applyBorder="1" applyAlignment="1">
      <alignment horizontal="left" vertical="center" wrapText="1"/>
    </xf>
    <xf numFmtId="0" fontId="54" fillId="12" borderId="101" xfId="0" applyFont="1" applyFill="1" applyBorder="1" applyAlignment="1">
      <alignment horizontal="left" vertical="center" wrapText="1"/>
    </xf>
    <xf numFmtId="0" fontId="54" fillId="12" borderId="0" xfId="0" applyFont="1" applyFill="1" applyAlignment="1">
      <alignment horizontal="left" vertical="center" wrapText="1"/>
    </xf>
    <xf numFmtId="0" fontId="54" fillId="12" borderId="96" xfId="0" applyFont="1" applyFill="1" applyBorder="1" applyAlignment="1">
      <alignment horizontal="left" vertical="center" wrapText="1"/>
    </xf>
    <xf numFmtId="0" fontId="54" fillId="12" borderId="102" xfId="0" applyFont="1" applyFill="1" applyBorder="1" applyAlignment="1">
      <alignment horizontal="left" vertical="center" wrapText="1"/>
    </xf>
    <xf numFmtId="0" fontId="54" fillId="12" borderId="104" xfId="0" applyFont="1" applyFill="1" applyBorder="1" applyAlignment="1">
      <alignment horizontal="left" vertical="center" wrapText="1"/>
    </xf>
    <xf numFmtId="0" fontId="54" fillId="12" borderId="97" xfId="0" applyFont="1" applyFill="1" applyBorder="1" applyAlignment="1">
      <alignment horizontal="left" vertical="center" wrapText="1"/>
    </xf>
    <xf numFmtId="0" fontId="59" fillId="3" borderId="104" xfId="0" applyFont="1" applyFill="1" applyBorder="1" applyAlignment="1">
      <alignment horizontal="center"/>
    </xf>
    <xf numFmtId="0" fontId="59" fillId="3" borderId="97" xfId="0" applyFont="1" applyFill="1" applyBorder="1" applyAlignment="1">
      <alignment horizontal="center"/>
    </xf>
    <xf numFmtId="176" fontId="58" fillId="0" borderId="102" xfId="0" applyNumberFormat="1" applyFont="1" applyBorder="1" applyAlignment="1">
      <alignment horizontal="center"/>
    </xf>
    <xf numFmtId="176" fontId="58" fillId="0" borderId="97" xfId="0" applyNumberFormat="1" applyFont="1" applyBorder="1" applyAlignment="1">
      <alignment horizontal="center"/>
    </xf>
    <xf numFmtId="1" fontId="58" fillId="12" borderId="227" xfId="0" applyNumberFormat="1" applyFont="1" applyFill="1" applyBorder="1" applyAlignment="1">
      <alignment horizontal="center"/>
    </xf>
    <xf numFmtId="1" fontId="58" fillId="12" borderId="228" xfId="0" applyNumberFormat="1" applyFont="1" applyFill="1" applyBorder="1" applyAlignment="1">
      <alignment horizontal="center"/>
    </xf>
    <xf numFmtId="1" fontId="58" fillId="12" borderId="207" xfId="0" applyNumberFormat="1" applyFont="1" applyFill="1" applyBorder="1" applyAlignment="1">
      <alignment horizontal="center"/>
    </xf>
    <xf numFmtId="1" fontId="58" fillId="12" borderId="107" xfId="0" applyNumberFormat="1" applyFont="1" applyFill="1" applyBorder="1" applyAlignment="1">
      <alignment horizontal="center"/>
    </xf>
    <xf numFmtId="0" fontId="63" fillId="3" borderId="82" xfId="0" applyFont="1" applyFill="1" applyBorder="1" applyAlignment="1">
      <alignment horizontal="left"/>
    </xf>
    <xf numFmtId="0" fontId="63" fillId="3" borderId="83" xfId="0" applyFont="1" applyFill="1" applyBorder="1" applyAlignment="1">
      <alignment horizontal="left"/>
    </xf>
    <xf numFmtId="0" fontId="63" fillId="3" borderId="84" xfId="0" applyFont="1" applyFill="1" applyBorder="1" applyAlignment="1">
      <alignment horizontal="left"/>
    </xf>
    <xf numFmtId="0" fontId="69" fillId="12" borderId="0" xfId="0" applyFont="1" applyFill="1" applyAlignment="1">
      <alignment horizontal="left" vertical="center"/>
    </xf>
    <xf numFmtId="0" fontId="57" fillId="14" borderId="82" xfId="0" applyFont="1" applyFill="1" applyBorder="1" applyAlignment="1">
      <alignment horizontal="center"/>
    </xf>
    <xf numFmtId="0" fontId="57" fillId="14" borderId="84" xfId="0" applyFont="1" applyFill="1" applyBorder="1" applyAlignment="1">
      <alignment horizontal="center"/>
    </xf>
    <xf numFmtId="1" fontId="58" fillId="12" borderId="229" xfId="0" applyNumberFormat="1" applyFont="1" applyFill="1" applyBorder="1" applyAlignment="1">
      <alignment horizontal="center"/>
    </xf>
    <xf numFmtId="1" fontId="58" fillId="12" borderId="230" xfId="0" applyNumberFormat="1" applyFont="1" applyFill="1" applyBorder="1" applyAlignment="1">
      <alignment horizontal="center"/>
    </xf>
    <xf numFmtId="0" fontId="59" fillId="3" borderId="85" xfId="0" applyFont="1" applyFill="1" applyBorder="1" applyAlignment="1">
      <alignment horizontal="center"/>
    </xf>
    <xf numFmtId="0" fontId="59" fillId="3" borderId="103" xfId="0" applyFont="1" applyFill="1" applyBorder="1" applyAlignment="1">
      <alignment horizontal="center"/>
    </xf>
    <xf numFmtId="0" fontId="59" fillId="3" borderId="93" xfId="0" applyFont="1" applyFill="1" applyBorder="1" applyAlignment="1">
      <alignment horizontal="center"/>
    </xf>
    <xf numFmtId="1" fontId="53" fillId="12" borderId="82" xfId="0" applyNumberFormat="1" applyFont="1" applyFill="1" applyBorder="1" applyAlignment="1">
      <alignment horizontal="center"/>
    </xf>
    <xf numFmtId="1" fontId="53" fillId="12" borderId="84" xfId="0" applyNumberFormat="1" applyFont="1" applyFill="1" applyBorder="1" applyAlignment="1">
      <alignment horizontal="center"/>
    </xf>
    <xf numFmtId="0" fontId="56" fillId="10" borderId="82" xfId="0" applyFont="1" applyFill="1" applyBorder="1" applyAlignment="1" applyProtection="1">
      <alignment horizontal="center" vertical="center" wrapText="1"/>
      <protection locked="0"/>
    </xf>
    <xf numFmtId="0" fontId="56" fillId="10" borderId="84" xfId="0" applyFont="1" applyFill="1" applyBorder="1" applyAlignment="1" applyProtection="1">
      <alignment horizontal="center" vertical="center" wrapText="1"/>
      <protection locked="0"/>
    </xf>
    <xf numFmtId="0" fontId="56" fillId="10" borderId="102" xfId="0" applyFont="1" applyFill="1" applyBorder="1" applyAlignment="1" applyProtection="1">
      <alignment horizontal="center" vertical="center" wrapText="1"/>
      <protection locked="0"/>
    </xf>
    <xf numFmtId="0" fontId="56" fillId="10" borderId="97" xfId="0" applyFont="1" applyFill="1" applyBorder="1" applyAlignment="1" applyProtection="1">
      <alignment horizontal="center" vertical="center" wrapText="1"/>
      <protection locked="0"/>
    </xf>
    <xf numFmtId="1" fontId="58" fillId="12" borderId="206" xfId="0" applyNumberFormat="1" applyFont="1" applyFill="1" applyBorder="1" applyAlignment="1">
      <alignment horizontal="center"/>
    </xf>
    <xf numFmtId="1" fontId="58" fillId="12" borderId="109" xfId="0" applyNumberFormat="1" applyFont="1" applyFill="1" applyBorder="1" applyAlignment="1">
      <alignment horizontal="center"/>
    </xf>
    <xf numFmtId="1" fontId="53" fillId="12" borderId="204" xfId="0" applyNumberFormat="1" applyFont="1" applyFill="1" applyBorder="1" applyAlignment="1">
      <alignment horizontal="center"/>
    </xf>
    <xf numFmtId="1" fontId="53" fillId="12" borderId="205" xfId="0" applyNumberFormat="1" applyFont="1" applyFill="1" applyBorder="1" applyAlignment="1">
      <alignment horizontal="center"/>
    </xf>
    <xf numFmtId="0" fontId="65" fillId="14" borderId="102" xfId="0" applyFont="1" applyFill="1" applyBorder="1" applyAlignment="1">
      <alignment horizontal="center"/>
    </xf>
    <xf numFmtId="0" fontId="65" fillId="14" borderId="104" xfId="0" applyFont="1" applyFill="1" applyBorder="1" applyAlignment="1">
      <alignment horizontal="center"/>
    </xf>
    <xf numFmtId="0" fontId="65" fillId="14" borderId="97" xfId="0" applyFont="1" applyFill="1" applyBorder="1" applyAlignment="1">
      <alignment horizontal="center"/>
    </xf>
    <xf numFmtId="0" fontId="57" fillId="14" borderId="83" xfId="0" applyFont="1" applyFill="1" applyBorder="1" applyAlignment="1">
      <alignment horizontal="center"/>
    </xf>
    <xf numFmtId="0" fontId="22" fillId="3" borderId="166" xfId="4" applyFont="1" applyFill="1" applyBorder="1" applyAlignment="1">
      <alignment horizontal="center"/>
    </xf>
    <xf numFmtId="0" fontId="22" fillId="3" borderId="167" xfId="4" applyFont="1" applyFill="1" applyBorder="1" applyAlignment="1">
      <alignment horizontal="center"/>
    </xf>
    <xf numFmtId="0" fontId="22" fillId="3" borderId="168" xfId="4" applyFont="1" applyFill="1" applyBorder="1" applyAlignment="1">
      <alignment horizontal="center"/>
    </xf>
    <xf numFmtId="0" fontId="51" fillId="17" borderId="82" xfId="4" applyFont="1" applyFill="1" applyBorder="1" applyAlignment="1">
      <alignment horizontal="center"/>
    </xf>
    <xf numFmtId="0" fontId="51" fillId="17" borderId="83" xfId="4" applyFont="1" applyFill="1" applyBorder="1" applyAlignment="1">
      <alignment horizontal="center"/>
    </xf>
    <xf numFmtId="0" fontId="51" fillId="17" borderId="84" xfId="4" applyFont="1" applyFill="1" applyBorder="1" applyAlignment="1">
      <alignment horizontal="center"/>
    </xf>
    <xf numFmtId="0" fontId="22" fillId="3" borderId="192" xfId="4" applyFont="1" applyFill="1" applyBorder="1" applyAlignment="1">
      <alignment horizontal="center"/>
    </xf>
    <xf numFmtId="0" fontId="22" fillId="3" borderId="193" xfId="4" applyFont="1" applyFill="1" applyBorder="1" applyAlignment="1">
      <alignment horizontal="center"/>
    </xf>
    <xf numFmtId="0" fontId="22" fillId="3" borderId="194" xfId="4" applyFont="1" applyFill="1" applyBorder="1" applyAlignment="1">
      <alignment horizontal="center"/>
    </xf>
    <xf numFmtId="0" fontId="51" fillId="17" borderId="85" xfId="4" applyFont="1" applyFill="1" applyBorder="1" applyAlignment="1">
      <alignment horizontal="center"/>
    </xf>
    <xf numFmtId="0" fontId="51" fillId="17" borderId="103" xfId="4" applyFont="1" applyFill="1" applyBorder="1" applyAlignment="1">
      <alignment horizontal="center"/>
    </xf>
    <xf numFmtId="0" fontId="51" fillId="17" borderId="93" xfId="4" applyFont="1" applyFill="1" applyBorder="1" applyAlignment="1">
      <alignment horizontal="center"/>
    </xf>
    <xf numFmtId="0" fontId="22" fillId="3" borderId="82" xfId="4" applyFont="1" applyFill="1" applyBorder="1" applyAlignment="1">
      <alignment horizontal="center"/>
    </xf>
    <xf numFmtId="0" fontId="22" fillId="3" borderId="83" xfId="4" applyFont="1" applyFill="1" applyBorder="1" applyAlignment="1">
      <alignment horizontal="center"/>
    </xf>
    <xf numFmtId="0" fontId="22" fillId="3" borderId="84" xfId="4" applyFont="1" applyFill="1" applyBorder="1" applyAlignment="1">
      <alignment horizontal="center"/>
    </xf>
    <xf numFmtId="0" fontId="22" fillId="3" borderId="231" xfId="4" applyFont="1" applyFill="1" applyBorder="1" applyAlignment="1">
      <alignment horizontal="center"/>
    </xf>
    <xf numFmtId="0" fontId="22" fillId="3" borderId="232" xfId="4" applyFont="1" applyFill="1" applyBorder="1" applyAlignment="1">
      <alignment horizontal="center"/>
    </xf>
    <xf numFmtId="0" fontId="22" fillId="3" borderId="233" xfId="4" applyFont="1" applyFill="1" applyBorder="1" applyAlignment="1">
      <alignment horizontal="center"/>
    </xf>
    <xf numFmtId="0" fontId="24" fillId="3" borderId="37" xfId="5" applyFont="1" applyFill="1" applyBorder="1" applyAlignment="1">
      <alignment horizontal="center"/>
    </xf>
    <xf numFmtId="0" fontId="24" fillId="3" borderId="55" xfId="5" applyFont="1" applyFill="1" applyBorder="1" applyAlignment="1">
      <alignment horizontal="center"/>
    </xf>
    <xf numFmtId="0" fontId="25" fillId="18" borderId="54" xfId="5" applyFont="1" applyFill="1" applyBorder="1" applyAlignment="1">
      <alignment horizontal="center"/>
    </xf>
    <xf numFmtId="0" fontId="25" fillId="18" borderId="53" xfId="5" applyFont="1" applyFill="1" applyBorder="1" applyAlignment="1">
      <alignment horizontal="center"/>
    </xf>
    <xf numFmtId="0" fontId="25" fillId="18" borderId="52" xfId="5" applyFont="1" applyFill="1" applyBorder="1" applyAlignment="1">
      <alignment horizontal="center"/>
    </xf>
    <xf numFmtId="0" fontId="25" fillId="18" borderId="76" xfId="5" applyFont="1" applyFill="1" applyBorder="1" applyAlignment="1">
      <alignment horizontal="center"/>
    </xf>
    <xf numFmtId="0" fontId="25" fillId="18" borderId="66" xfId="5" applyFont="1" applyFill="1" applyBorder="1" applyAlignment="1">
      <alignment horizontal="center"/>
    </xf>
    <xf numFmtId="0" fontId="25" fillId="18" borderId="77" xfId="5" applyFont="1" applyFill="1" applyBorder="1" applyAlignment="1">
      <alignment horizontal="center"/>
    </xf>
    <xf numFmtId="0" fontId="22" fillId="3" borderId="30" xfId="5" applyFont="1" applyFill="1" applyBorder="1" applyAlignment="1">
      <alignment horizontal="center"/>
    </xf>
    <xf numFmtId="0" fontId="22" fillId="3" borderId="29" xfId="5" applyFont="1" applyFill="1" applyBorder="1" applyAlignment="1">
      <alignment horizontal="center"/>
    </xf>
    <xf numFmtId="0" fontId="22" fillId="3" borderId="28" xfId="5" applyFont="1" applyFill="1" applyBorder="1" applyAlignment="1">
      <alignment horizontal="center"/>
    </xf>
    <xf numFmtId="165" fontId="22" fillId="3" borderId="166" xfId="3" applyNumberFormat="1" applyFont="1" applyFill="1" applyBorder="1" applyAlignment="1" applyProtection="1">
      <alignment horizontal="center"/>
    </xf>
    <xf numFmtId="165" fontId="22" fillId="3" borderId="167" xfId="3" applyNumberFormat="1" applyFont="1" applyFill="1" applyBorder="1" applyAlignment="1" applyProtection="1">
      <alignment horizontal="center"/>
    </xf>
    <xf numFmtId="165" fontId="22" fillId="3" borderId="168" xfId="3" applyNumberFormat="1" applyFont="1" applyFill="1" applyBorder="1" applyAlignment="1" applyProtection="1">
      <alignment horizontal="center"/>
    </xf>
    <xf numFmtId="0" fontId="24" fillId="3" borderId="38" xfId="5" applyFont="1" applyFill="1" applyBorder="1" applyAlignment="1">
      <alignment horizontal="center"/>
    </xf>
    <xf numFmtId="0" fontId="24" fillId="3" borderId="36" xfId="5" applyFont="1" applyFill="1" applyBorder="1" applyAlignment="1">
      <alignment horizontal="center"/>
    </xf>
    <xf numFmtId="0" fontId="24" fillId="3" borderId="5" xfId="5" applyFont="1" applyFill="1" applyBorder="1" applyAlignment="1">
      <alignment horizontal="center"/>
    </xf>
    <xf numFmtId="0" fontId="24" fillId="3" borderId="35" xfId="5" applyFont="1" applyFill="1" applyBorder="1" applyAlignment="1">
      <alignment horizontal="center"/>
    </xf>
    <xf numFmtId="0" fontId="24" fillId="3" borderId="65" xfId="5" applyFont="1" applyFill="1" applyBorder="1" applyAlignment="1">
      <alignment horizontal="left"/>
    </xf>
    <xf numFmtId="0" fontId="24" fillId="3" borderId="27" xfId="5" applyFont="1" applyFill="1" applyBorder="1" applyAlignment="1">
      <alignment horizontal="left"/>
    </xf>
    <xf numFmtId="0" fontId="24" fillId="3" borderId="26" xfId="5" applyFont="1" applyFill="1" applyBorder="1" applyAlignment="1">
      <alignment horizontal="left"/>
    </xf>
    <xf numFmtId="0" fontId="25" fillId="18" borderId="82" xfId="5" applyFont="1" applyFill="1" applyBorder="1" applyAlignment="1">
      <alignment horizontal="center"/>
    </xf>
    <xf numFmtId="0" fontId="25" fillId="18" borderId="83" xfId="5" applyFont="1" applyFill="1" applyBorder="1" applyAlignment="1">
      <alignment horizontal="center"/>
    </xf>
    <xf numFmtId="0" fontId="25" fillId="18" borderId="84" xfId="5" applyFont="1" applyFill="1" applyBorder="1" applyAlignment="1">
      <alignment horizontal="center"/>
    </xf>
    <xf numFmtId="165" fontId="22" fillId="3" borderId="82" xfId="3" applyNumberFormat="1" applyFont="1" applyFill="1" applyBorder="1" applyAlignment="1" applyProtection="1">
      <alignment horizontal="center"/>
    </xf>
    <xf numFmtId="165" fontId="22" fillId="3" borderId="83" xfId="3" applyNumberFormat="1" applyFont="1" applyFill="1" applyBorder="1" applyAlignment="1" applyProtection="1">
      <alignment horizontal="center"/>
    </xf>
    <xf numFmtId="165" fontId="22" fillId="3" borderId="84" xfId="3" applyNumberFormat="1" applyFont="1" applyFill="1" applyBorder="1" applyAlignment="1" applyProtection="1">
      <alignment horizontal="center"/>
    </xf>
    <xf numFmtId="0" fontId="54" fillId="12" borderId="85" xfId="0" applyFont="1" applyFill="1" applyBorder="1" applyAlignment="1">
      <alignment horizontal="left" vertical="center" wrapText="1"/>
    </xf>
  </cellXfs>
  <cellStyles count="12">
    <cellStyle name="Comma 2" xfId="7" xr:uid="{5797F942-648B-4C63-8276-346CFBBFDEBB}"/>
    <cellStyle name="Comma 3" xfId="3" xr:uid="{9DDDEFBA-5DFD-435C-B843-6594AC6CAA4E}"/>
    <cellStyle name="Hyperlink" xfId="11" xr:uid="{00000000-000B-0000-0000-000008000000}"/>
    <cellStyle name="Hyperlink 2" xfId="8" xr:uid="{1C9814B3-625B-4DC2-AA6C-42DDEE2182D4}"/>
    <cellStyle name="Input" xfId="2" builtinId="20"/>
    <cellStyle name="Normal" xfId="0" builtinId="0"/>
    <cellStyle name="Normal 2" xfId="10" xr:uid="{D8075A74-C9E1-48AD-A82F-B36BF0958070}"/>
    <cellStyle name="Normal 2 2 2" xfId="4" xr:uid="{348EE9E4-B502-4FE5-9DD8-17672015736C}"/>
    <cellStyle name="Normal 3" xfId="5" xr:uid="{EB04F269-ABE4-41D7-966E-4D2BE3089256}"/>
    <cellStyle name="Normal 3 2" xfId="6" xr:uid="{4BF6EA74-090D-4DD3-A613-307947436F8D}"/>
    <cellStyle name="Per cent 3" xfId="9" xr:uid="{0E8BBBFD-2C87-4672-A74B-3F5332AD3F43}"/>
    <cellStyle name="Percent" xfId="1" builtinId="5"/>
  </cellStyles>
  <dxfs count="20">
    <dxf>
      <fill>
        <patternFill>
          <fgColor theme="7" tint="0.59996337778862885"/>
        </patternFill>
      </fill>
    </dxf>
    <dxf>
      <font>
        <u val="none"/>
      </font>
      <fill>
        <patternFill>
          <bgColor theme="7" tint="0.59996337778862885"/>
        </patternFill>
      </fill>
    </dxf>
    <dxf>
      <fill>
        <patternFill patternType="solid">
          <bgColor theme="7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0"/>
        </patternFill>
      </fill>
    </dxf>
    <dxf>
      <fill>
        <patternFill>
          <bgColor theme="7" tint="0.59996337778862885"/>
        </patternFill>
      </fill>
    </dxf>
    <dxf>
      <font>
        <color rgb="FFBF0171"/>
      </font>
      <fill>
        <patternFill>
          <bgColor rgb="FFFFE798"/>
        </patternFill>
      </fill>
    </dxf>
    <dxf>
      <font>
        <u val="none"/>
      </font>
      <fill>
        <patternFill>
          <bgColor theme="7" tint="0.59996337778862885"/>
        </patternFill>
      </fill>
    </dxf>
    <dxf>
      <font>
        <u val="none"/>
      </font>
      <fill>
        <patternFill>
          <bgColor theme="7" tint="0.59996337778862885"/>
        </patternFill>
      </fill>
    </dxf>
    <dxf>
      <fill>
        <patternFill patternType="solid">
          <bgColor theme="0"/>
        </patternFill>
      </fill>
    </dxf>
    <dxf>
      <font>
        <color rgb="FFBF0171"/>
      </font>
      <fill>
        <patternFill>
          <bgColor rgb="FFFFE798"/>
        </patternFill>
      </fill>
    </dxf>
    <dxf>
      <font>
        <u val="none"/>
      </font>
      <fill>
        <patternFill>
          <bgColor theme="7" tint="0.59996337778862885"/>
        </patternFill>
      </fill>
    </dxf>
    <dxf>
      <font>
        <u val="none"/>
      </font>
      <fill>
        <patternFill>
          <bgColor theme="7" tint="0.59996337778862885"/>
        </patternFill>
      </fill>
    </dxf>
    <dxf>
      <font>
        <color rgb="FFBF0171"/>
      </font>
      <fill>
        <patternFill>
          <bgColor rgb="FFFFE798"/>
        </patternFill>
      </fill>
    </dxf>
    <dxf>
      <font>
        <color rgb="FFBF0171"/>
      </font>
      <fill>
        <patternFill>
          <bgColor rgb="FFFFE798"/>
        </patternFill>
      </fill>
    </dxf>
    <dxf>
      <font>
        <u val="none"/>
        <color rgb="FFBF0171"/>
      </font>
      <fill>
        <patternFill>
          <bgColor rgb="FFFFE798"/>
        </patternFill>
      </fill>
    </dxf>
    <dxf>
      <fill>
        <patternFill>
          <bgColor theme="7" tint="0.59996337778862885"/>
        </patternFill>
      </fill>
    </dxf>
  </dxfs>
  <tableStyles count="0" defaultTableStyle="TableStyleMedium2" defaultPivotStyle="PivotStyleMedium9"/>
  <colors>
    <mruColors>
      <color rgb="FF70706F"/>
      <color rgb="FF5F9BC7"/>
      <color rgb="FFFFE798"/>
      <color rgb="FFBF0171"/>
      <color rgb="FFF2DB92"/>
      <color rgb="FFE91D6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0" i="0" u="none" strike="noStrike" kern="1200" spc="0" baseline="0">
                <a:solidFill>
                  <a:schemeClr val="accent1"/>
                </a:solidFill>
                <a:latin typeface="Source Sans Pro" panose="020B0503030403020204" pitchFamily="34" charset="0"/>
                <a:ea typeface="Source Sans Pro" panose="020B0503030403020204" pitchFamily="34" charset="0"/>
                <a:cs typeface="+mn-cs"/>
              </a:defRPr>
            </a:pPr>
            <a:r>
              <a:rPr lang="en-GB" sz="2400" b="1">
                <a:solidFill>
                  <a:schemeClr val="accent1"/>
                </a:solidFill>
                <a:latin typeface="Source Sans Pro" panose="020B0503030403020204" pitchFamily="34" charset="0"/>
                <a:ea typeface="Source Sans Pro" panose="020B0503030403020204" pitchFamily="34" charset="0"/>
              </a:rPr>
              <a:t>VUOTUINEN </a:t>
            </a:r>
          </a:p>
          <a:p>
            <a:pPr>
              <a:defRPr sz="2400">
                <a:solidFill>
                  <a:schemeClr val="accent1"/>
                </a:solidFill>
                <a:latin typeface="Source Sans Pro" panose="020B0503030403020204" pitchFamily="34" charset="0"/>
                <a:ea typeface="Source Sans Pro" panose="020B0503030403020204" pitchFamily="34" charset="0"/>
              </a:defRPr>
            </a:pPr>
            <a:r>
              <a:rPr lang="en-GB" sz="2400" b="1">
                <a:solidFill>
                  <a:schemeClr val="accent1"/>
                </a:solidFill>
                <a:latin typeface="Source Sans Pro" panose="020B0503030403020204" pitchFamily="34" charset="0"/>
                <a:ea typeface="Source Sans Pro" panose="020B0503030403020204" pitchFamily="34" charset="0"/>
              </a:rPr>
              <a:t>HIILIJALANJÄLKIJAKAUMA</a:t>
            </a:r>
            <a:r>
              <a:rPr lang="en-GB" sz="2400" b="1" baseline="0">
                <a:solidFill>
                  <a:schemeClr val="accent1"/>
                </a:solidFill>
                <a:latin typeface="Source Sans Pro" panose="020B0503030403020204" pitchFamily="34" charset="0"/>
                <a:ea typeface="Source Sans Pro" panose="020B0503030403020204" pitchFamily="34" charset="0"/>
              </a:rPr>
              <a:t> </a:t>
            </a:r>
          </a:p>
          <a:p>
            <a:pPr>
              <a:defRPr sz="2400">
                <a:solidFill>
                  <a:schemeClr val="accent1"/>
                </a:solidFill>
                <a:latin typeface="Source Sans Pro" panose="020B0503030403020204" pitchFamily="34" charset="0"/>
                <a:ea typeface="Source Sans Pro" panose="020B0503030403020204" pitchFamily="34" charset="0"/>
              </a:defRPr>
            </a:pPr>
            <a:r>
              <a:rPr lang="en-GB" sz="2400" b="1" baseline="0">
                <a:solidFill>
                  <a:schemeClr val="accent1"/>
                </a:solidFill>
                <a:latin typeface="Source Sans Pro" panose="020B0503030403020204" pitchFamily="34" charset="0"/>
                <a:ea typeface="Source Sans Pro" panose="020B0503030403020204" pitchFamily="34" charset="0"/>
              </a:rPr>
              <a:t>(kgCO2e)</a:t>
            </a:r>
            <a:endParaRPr lang="en-GB" sz="2400" b="1">
              <a:solidFill>
                <a:schemeClr val="accent1"/>
              </a:solidFill>
              <a:latin typeface="Source Sans Pro" panose="020B0503030403020204" pitchFamily="34" charset="0"/>
              <a:ea typeface="Source Sans Pro" panose="020B0503030403020204" pitchFamily="34" charset="0"/>
            </a:endParaRPr>
          </a:p>
        </c:rich>
      </c:tx>
      <c:layout>
        <c:manualLayout>
          <c:xMode val="edge"/>
          <c:yMode val="edge"/>
          <c:x val="2.0572802848983083E-2"/>
          <c:y val="2.183169841336804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400" b="0" i="0" u="none" strike="noStrike" kern="1200" spc="0" baseline="0">
              <a:solidFill>
                <a:schemeClr val="accent1"/>
              </a:solidFill>
              <a:latin typeface="Source Sans Pro" panose="020B0503030403020204" pitchFamily="34" charset="0"/>
              <a:ea typeface="Source Sans Pro" panose="020B0503030403020204" pitchFamily="34" charset="0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B89A-EB4C-AA3E-CFB250E7B9C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B89A-EB4C-AA3E-CFB250E7B9C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B89A-EB4C-AA3E-CFB250E7B9C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B89A-EB4C-AA3E-CFB250E7B9C2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B89A-EB4C-AA3E-CFB250E7B9C2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B89A-EB4C-AA3E-CFB250E7B9C2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450A-904F-8439-CC496A29A024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0F9C-B041-8D17-D2610FB30FD9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56A1-423B-A910-69D62AC12FD7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56A1-423B-A910-69D62AC12FD7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27C8-4063-850D-204708304ED6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27C8-4063-850D-204708304ED6}"/>
              </c:ext>
            </c:extLst>
          </c:dPt>
          <c:dLbls>
            <c:dLbl>
              <c:idx val="0"/>
              <c:layout>
                <c:manualLayout>
                  <c:x val="-0.11189054126642743"/>
                  <c:y val="-1.436256033964359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89A-EB4C-AA3E-CFB250E7B9C2}"/>
                </c:ext>
              </c:extLst>
            </c:dLbl>
            <c:dLbl>
              <c:idx val="1"/>
              <c:layout>
                <c:manualLayout>
                  <c:x val="5.0771991846883802E-2"/>
                  <c:y val="-9.329873041278627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89A-EB4C-AA3E-CFB250E7B9C2}"/>
                </c:ext>
              </c:extLst>
            </c:dLbl>
            <c:dLbl>
              <c:idx val="2"/>
              <c:layout>
                <c:manualLayout>
                  <c:x val="0.28710105973595407"/>
                  <c:y val="3.225281674673638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89A-EB4C-AA3E-CFB250E7B9C2}"/>
                </c:ext>
              </c:extLst>
            </c:dLbl>
            <c:dLbl>
              <c:idx val="3"/>
              <c:layout>
                <c:manualLayout>
                  <c:x val="-0.20078004786846587"/>
                  <c:y val="-0.1273524205691551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89A-EB4C-AA3E-CFB250E7B9C2}"/>
                </c:ext>
              </c:extLst>
            </c:dLbl>
            <c:dLbl>
              <c:idx val="4"/>
              <c:layout>
                <c:manualLayout>
                  <c:x val="0.13616475384186"/>
                  <c:y val="-0.1028927603991790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89A-EB4C-AA3E-CFB250E7B9C2}"/>
                </c:ext>
              </c:extLst>
            </c:dLbl>
            <c:dLbl>
              <c:idx val="5"/>
              <c:layout>
                <c:manualLayout>
                  <c:x val="-0.2375942556052674"/>
                  <c:y val="1.894974413866750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89A-EB4C-AA3E-CFB250E7B9C2}"/>
                </c:ext>
              </c:extLst>
            </c:dLbl>
            <c:dLbl>
              <c:idx val="6"/>
              <c:layout>
                <c:manualLayout>
                  <c:x val="3.0074917327063376E-2"/>
                  <c:y val="-9.102140045895994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450A-904F-8439-CC496A29A024}"/>
                </c:ext>
              </c:extLst>
            </c:dLbl>
            <c:dLbl>
              <c:idx val="7"/>
              <c:layout>
                <c:manualLayout>
                  <c:x val="-0.38453306494582912"/>
                  <c:y val="8.563778517746198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0F9C-B041-8D17-D2610FB30FD9}"/>
                </c:ext>
              </c:extLst>
            </c:dLbl>
            <c:dLbl>
              <c:idx val="8"/>
              <c:layout>
                <c:manualLayout>
                  <c:x val="0.10615780122010454"/>
                  <c:y val="-2.934177937361050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56A1-423B-A910-69D62AC12FD7}"/>
                </c:ext>
              </c:extLst>
            </c:dLbl>
            <c:dLbl>
              <c:idx val="11"/>
              <c:layout>
                <c:manualLayout>
                  <c:x val="0.15174252530847998"/>
                  <c:y val="6.415929784854217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27C8-4063-850D-204708304ED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2000" b="0" i="0" u="none" strike="noStrike" kern="1200" baseline="0">
                    <a:solidFill>
                      <a:schemeClr val="accent1"/>
                    </a:solidFill>
                    <a:latin typeface="Source Sans Pro" panose="020B0503030403020204" pitchFamily="34" charset="0"/>
                    <a:ea typeface="Source Sans Pro" panose="020B0503030403020204" pitchFamily="34" charset="0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Laskenta!$C$17:$C$27</c:f>
              <c:strCache>
                <c:ptCount val="11"/>
                <c:pt idx="0">
                  <c:v>Säännöllinen toiminta / viikkotoiminta</c:v>
                </c:pt>
                <c:pt idx="1">
                  <c:v>Jätehuolto</c:v>
                </c:pt>
                <c:pt idx="2">
                  <c:v>Hankinnat</c:v>
                </c:pt>
                <c:pt idx="3">
                  <c:v>Palvelut</c:v>
                </c:pt>
                <c:pt idx="4">
                  <c:v>Poltto</c:v>
                </c:pt>
                <c:pt idx="5">
                  <c:v>Tapahtumat</c:v>
                </c:pt>
                <c:pt idx="6">
                  <c:v>Postitus</c:v>
                </c:pt>
                <c:pt idx="7">
                  <c:v>Energia</c:v>
                </c:pt>
                <c:pt idx="8">
                  <c:v>Lentäminen, yöpyminen ja muut matkat</c:v>
                </c:pt>
                <c:pt idx="9">
                  <c:v>Palkatun henkilöstön työmatkustaminen</c:v>
                </c:pt>
                <c:pt idx="10">
                  <c:v>Organisaation ajoneuvot</c:v>
                </c:pt>
              </c:strCache>
            </c:strRef>
          </c:cat>
          <c:val>
            <c:numRef>
              <c:f>Laskenta!$D$17:$D$27</c:f>
              <c:numCache>
                <c:formatCode>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41-B84A-AFA5-A0EB8FB7D463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B89A-EB4C-AA3E-CFB250E7B9C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B89A-EB4C-AA3E-CFB250E7B9C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B89A-EB4C-AA3E-CFB250E7B9C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B89A-EB4C-AA3E-CFB250E7B9C2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B89A-EB4C-AA3E-CFB250E7B9C2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B89A-EB4C-AA3E-CFB250E7B9C2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B-7ED9-4039-B47B-E36E306E977C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F-0F9C-B041-8D17-D2610FB30FD9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5-56A1-423B-A910-69D62AC12FD7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7-56A1-423B-A910-69D62AC12FD7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D-27C8-4063-850D-204708304ED6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F-27C8-4063-850D-204708304ED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Laskenta!$C$17:$C$27</c:f>
              <c:strCache>
                <c:ptCount val="11"/>
                <c:pt idx="0">
                  <c:v>Säännöllinen toiminta / viikkotoiminta</c:v>
                </c:pt>
                <c:pt idx="1">
                  <c:v>Jätehuolto</c:v>
                </c:pt>
                <c:pt idx="2">
                  <c:v>Hankinnat</c:v>
                </c:pt>
                <c:pt idx="3">
                  <c:v>Palvelut</c:v>
                </c:pt>
                <c:pt idx="4">
                  <c:v>Poltto</c:v>
                </c:pt>
                <c:pt idx="5">
                  <c:v>Tapahtumat</c:v>
                </c:pt>
                <c:pt idx="6">
                  <c:v>Postitus</c:v>
                </c:pt>
                <c:pt idx="7">
                  <c:v>Energia</c:v>
                </c:pt>
                <c:pt idx="8">
                  <c:v>Lentäminen, yöpyminen ja muut matkat</c:v>
                </c:pt>
                <c:pt idx="9">
                  <c:v>Palkatun henkilöstön työmatkustaminen</c:v>
                </c:pt>
                <c:pt idx="10">
                  <c:v>Organisaation ajoneuvot</c:v>
                </c:pt>
              </c:strCache>
            </c:strRef>
          </c:cat>
          <c:val>
            <c:numRef>
              <c:f>Laskenta!$E$17:$E$27</c:f>
              <c:numCache>
                <c:formatCode>0</c:formatCode>
                <c:ptCount val="11"/>
              </c:numCache>
            </c:numRef>
          </c:val>
          <c:extLst>
            <c:ext xmlns:c16="http://schemas.microsoft.com/office/drawing/2014/chart" uri="{C3380CC4-5D6E-409C-BE32-E72D297353CC}">
              <c16:uniqueId val="{00000001-B041-B84A-AFA5-A0EB8FB7D463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28575" cap="flat" cmpd="sng" algn="ctr">
      <a:solidFill>
        <a:schemeClr val="accent1"/>
      </a:solidFill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accent1"/>
                </a:solidFill>
                <a:latin typeface="Source Sans Pro" panose="020B0503030403020204" pitchFamily="34" charset="0"/>
                <a:ea typeface="Source Sans Pro" panose="020B0503030403020204" pitchFamily="34" charset="0"/>
                <a:cs typeface="+mn-cs"/>
              </a:defRPr>
            </a:pPr>
            <a:r>
              <a:rPr lang="en-GB" sz="1600" b="1">
                <a:solidFill>
                  <a:schemeClr val="accent1"/>
                </a:solidFill>
                <a:latin typeface="Source Sans Pro" panose="020B0503030403020204" pitchFamily="34" charset="0"/>
                <a:ea typeface="Source Sans Pro" panose="020B0503030403020204" pitchFamily="34" charset="0"/>
              </a:rPr>
              <a:t>LENTÄMINEN, YÖPYMINEN SEKÄ MUUT MATKAT </a:t>
            </a:r>
          </a:p>
        </c:rich>
      </c:tx>
      <c:layout>
        <c:manualLayout>
          <c:xMode val="edge"/>
          <c:yMode val="edge"/>
          <c:x val="2.0014729191985624E-2"/>
          <c:y val="0.9137859310720356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accent1"/>
              </a:solidFill>
              <a:latin typeface="Source Sans Pro" panose="020B0503030403020204" pitchFamily="34" charset="0"/>
              <a:ea typeface="Source Sans Pro" panose="020B0503030403020204" pitchFamily="34" charset="0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4900987998046548"/>
          <c:y val="0.28666159281577863"/>
          <c:w val="0.50094201373407965"/>
          <c:h val="0.78350832062058173"/>
        </c:manualLayout>
      </c:layout>
      <c:pieChart>
        <c:varyColors val="1"/>
        <c:ser>
          <c:idx val="0"/>
          <c:order val="0"/>
          <c:tx>
            <c:v>Liikematkat</c:v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A21-4C7C-B2C5-BA20E93F4E6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A21-4C7C-B2C5-BA20E93F4E6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CA21-4C7C-B2C5-BA20E93F4E6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A21-4C7C-B2C5-BA20E93F4E69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CA21-4C7C-B2C5-BA20E93F4E69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CA21-4C7C-B2C5-BA20E93F4E69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CA21-4C7C-B2C5-BA20E93F4E69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CA21-4C7C-B2C5-BA20E93F4E69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CA21-4C7C-B2C5-BA20E93F4E69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CA21-4C7C-B2C5-BA20E93F4E69}"/>
              </c:ext>
            </c:extLst>
          </c:dPt>
          <c:dLbls>
            <c:dLbl>
              <c:idx val="0"/>
              <c:layout>
                <c:manualLayout>
                  <c:x val="-0.11189054126642743"/>
                  <c:y val="-1.436256033964359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A21-4C7C-B2C5-BA20E93F4E69}"/>
                </c:ext>
              </c:extLst>
            </c:dLbl>
            <c:dLbl>
              <c:idx val="1"/>
              <c:layout>
                <c:manualLayout>
                  <c:x val="5.0771991846883802E-2"/>
                  <c:y val="-9.329873041278627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A21-4C7C-B2C5-BA20E93F4E69}"/>
                </c:ext>
              </c:extLst>
            </c:dLbl>
            <c:dLbl>
              <c:idx val="2"/>
              <c:layout>
                <c:manualLayout>
                  <c:x val="0.28710105973595407"/>
                  <c:y val="3.225281674673638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A21-4C7C-B2C5-BA20E93F4E69}"/>
                </c:ext>
              </c:extLst>
            </c:dLbl>
            <c:dLbl>
              <c:idx val="3"/>
              <c:layout>
                <c:manualLayout>
                  <c:x val="-0.20078004786846587"/>
                  <c:y val="-0.1273524205691551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A21-4C7C-B2C5-BA20E93F4E69}"/>
                </c:ext>
              </c:extLst>
            </c:dLbl>
            <c:dLbl>
              <c:idx val="4"/>
              <c:layout>
                <c:manualLayout>
                  <c:x val="0.13616475384186"/>
                  <c:y val="-0.1028927603991790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A21-4C7C-B2C5-BA20E93F4E69}"/>
                </c:ext>
              </c:extLst>
            </c:dLbl>
            <c:dLbl>
              <c:idx val="5"/>
              <c:layout>
                <c:manualLayout>
                  <c:x val="-0.2375942556052674"/>
                  <c:y val="1.894974413866750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CA21-4C7C-B2C5-BA20E93F4E69}"/>
                </c:ext>
              </c:extLst>
            </c:dLbl>
            <c:dLbl>
              <c:idx val="6"/>
              <c:layout>
                <c:manualLayout>
                  <c:x val="3.0074917327063376E-2"/>
                  <c:y val="-9.102140045895994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CA21-4C7C-B2C5-BA20E93F4E69}"/>
                </c:ext>
              </c:extLst>
            </c:dLbl>
            <c:dLbl>
              <c:idx val="7"/>
              <c:layout>
                <c:manualLayout>
                  <c:x val="-0.38453306494582912"/>
                  <c:y val="8.563778517746198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CA21-4C7C-B2C5-BA20E93F4E6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accent1"/>
                    </a:solidFill>
                    <a:latin typeface="Source Sans Pro" panose="020B0503030403020204" pitchFamily="34" charset="0"/>
                    <a:ea typeface="Source Sans Pro" panose="020B0503030403020204" pitchFamily="34" charset="0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Tausta_Liikematkat!$B$78:$B$85</c:f>
              <c:strCache>
                <c:ptCount val="8"/>
                <c:pt idx="0">
                  <c:v>Lennot: kotimaa</c:v>
                </c:pt>
                <c:pt idx="1">
                  <c:v>Lennot: ulkomaa</c:v>
                </c:pt>
                <c:pt idx="2">
                  <c:v>Kilometrikorvausten alaiset kilometrit autolla</c:v>
                </c:pt>
                <c:pt idx="3">
                  <c:v>Liikematkat junalla</c:v>
                </c:pt>
                <c:pt idx="4">
                  <c:v>Liikematkat bussilla</c:v>
                </c:pt>
                <c:pt idx="5">
                  <c:v>Hotelliyöpymiset</c:v>
                </c:pt>
                <c:pt idx="6">
                  <c:v>Taksimatkat</c:v>
                </c:pt>
                <c:pt idx="7">
                  <c:v>Laivamatkat</c:v>
                </c:pt>
              </c:strCache>
            </c:strRef>
          </c:cat>
          <c:val>
            <c:numRef>
              <c:f>Tausta_Liikematkat!$C$78:$C$85</c:f>
              <c:numCache>
                <c:formatCode>0.00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CA21-4C7C-B2C5-BA20E93F4E69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28575" cap="flat" cmpd="sng" algn="ctr">
      <a:solidFill>
        <a:schemeClr val="tx2"/>
      </a:solidFill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accent1"/>
                </a:solidFill>
                <a:latin typeface="Source Sans Pro" panose="020B0503030403020204" pitchFamily="34" charset="0"/>
                <a:ea typeface="Source Sans Pro" panose="020B0503030403020204" pitchFamily="34" charset="0"/>
                <a:cs typeface="+mn-cs"/>
              </a:defRPr>
            </a:pPr>
            <a:r>
              <a:rPr lang="en-GB" sz="1600" b="1">
                <a:solidFill>
                  <a:schemeClr val="accent1"/>
                </a:solidFill>
                <a:latin typeface="Source Sans Pro" panose="020B0503030403020204" pitchFamily="34" charset="0"/>
                <a:ea typeface="Source Sans Pro" panose="020B0503030403020204" pitchFamily="34" charset="0"/>
              </a:rPr>
              <a:t>POSTITUS</a:t>
            </a:r>
          </a:p>
        </c:rich>
      </c:tx>
      <c:layout>
        <c:manualLayout>
          <c:xMode val="edge"/>
          <c:yMode val="edge"/>
          <c:x val="7.6027023316550188E-3"/>
          <c:y val="0.9376334337162430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accent1"/>
              </a:solidFill>
              <a:latin typeface="Source Sans Pro" panose="020B0503030403020204" pitchFamily="34" charset="0"/>
              <a:ea typeface="Source Sans Pro" panose="020B0503030403020204" pitchFamily="34" charset="0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4900987998046548"/>
          <c:y val="0.28666159281577863"/>
          <c:w val="0.50094201373407965"/>
          <c:h val="0.78350832062058173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782F-47E0-9809-07120E23E16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782F-47E0-9809-07120E23E16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782F-47E0-9809-07120E23E16E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782F-47E0-9809-07120E23E16E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782F-47E0-9809-07120E23E16E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782F-47E0-9809-07120E23E16E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782F-47E0-9809-07120E23E16E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782F-47E0-9809-07120E23E16E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782F-47E0-9809-07120E23E16E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782F-47E0-9809-07120E23E16E}"/>
              </c:ext>
            </c:extLst>
          </c:dPt>
          <c:dLbls>
            <c:dLbl>
              <c:idx val="0"/>
              <c:layout>
                <c:manualLayout>
                  <c:x val="-0.11189054126642743"/>
                  <c:y val="-1.436256033964359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82F-47E0-9809-07120E23E16E}"/>
                </c:ext>
              </c:extLst>
            </c:dLbl>
            <c:dLbl>
              <c:idx val="1"/>
              <c:layout>
                <c:manualLayout>
                  <c:x val="5.0771991846883802E-2"/>
                  <c:y val="-9.329873041278627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82F-47E0-9809-07120E23E16E}"/>
                </c:ext>
              </c:extLst>
            </c:dLbl>
            <c:dLbl>
              <c:idx val="2"/>
              <c:layout>
                <c:manualLayout>
                  <c:x val="0.28710105973595407"/>
                  <c:y val="3.225281674673638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82F-47E0-9809-07120E23E16E}"/>
                </c:ext>
              </c:extLst>
            </c:dLbl>
            <c:dLbl>
              <c:idx val="3"/>
              <c:layout>
                <c:manualLayout>
                  <c:x val="-0.20078004786846587"/>
                  <c:y val="-0.1273524205691551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82F-47E0-9809-07120E23E16E}"/>
                </c:ext>
              </c:extLst>
            </c:dLbl>
            <c:dLbl>
              <c:idx val="4"/>
              <c:layout>
                <c:manualLayout>
                  <c:x val="0.13616475384186"/>
                  <c:y val="-0.1028927603991790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82F-47E0-9809-07120E23E16E}"/>
                </c:ext>
              </c:extLst>
            </c:dLbl>
            <c:dLbl>
              <c:idx val="5"/>
              <c:layout>
                <c:manualLayout>
                  <c:x val="-0.2375942556052674"/>
                  <c:y val="1.894974413866750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82F-47E0-9809-07120E23E16E}"/>
                </c:ext>
              </c:extLst>
            </c:dLbl>
            <c:dLbl>
              <c:idx val="6"/>
              <c:layout>
                <c:manualLayout>
                  <c:x val="3.0074917327063376E-2"/>
                  <c:y val="-9.102140045895994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782F-47E0-9809-07120E23E16E}"/>
                </c:ext>
              </c:extLst>
            </c:dLbl>
            <c:dLbl>
              <c:idx val="7"/>
              <c:layout>
                <c:manualLayout>
                  <c:x val="-0.38453306494582912"/>
                  <c:y val="8.563778517746198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782F-47E0-9809-07120E23E16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accent1"/>
                    </a:solidFill>
                    <a:latin typeface="Source Sans Pro" panose="020B0503030403020204" pitchFamily="34" charset="0"/>
                    <a:ea typeface="Source Sans Pro" panose="020B0503030403020204" pitchFamily="34" charset="0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Tausta_Hankinnat!$A$37:$A$39</c:f>
              <c:strCache>
                <c:ptCount val="3"/>
                <c:pt idx="0">
                  <c:v>Adventtikalenteri</c:v>
                </c:pt>
                <c:pt idx="1">
                  <c:v>Lähetetyt kirjeet</c:v>
                </c:pt>
                <c:pt idx="2">
                  <c:v>Muu postitus</c:v>
                </c:pt>
              </c:strCache>
            </c:strRef>
          </c:cat>
          <c:val>
            <c:numRef>
              <c:f>Tausta_Hankinnat!$B$37:$B$39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782F-47E0-9809-07120E23E16E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28575" cap="flat" cmpd="sng" algn="ctr">
      <a:solidFill>
        <a:schemeClr val="accent1"/>
      </a:solidFill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accent1"/>
                </a:solidFill>
                <a:latin typeface="Source Sans Pro" panose="020B0503030403020204" pitchFamily="34" charset="0"/>
                <a:ea typeface="Source Sans Pro" panose="020B0503030403020204" pitchFamily="34" charset="0"/>
                <a:cs typeface="+mn-cs"/>
              </a:defRPr>
            </a:pPr>
            <a:r>
              <a:rPr lang="en-GB" sz="1600" b="1">
                <a:solidFill>
                  <a:schemeClr val="accent1"/>
                </a:solidFill>
                <a:latin typeface="Source Sans Pro" panose="020B0503030403020204" pitchFamily="34" charset="0"/>
                <a:ea typeface="Source Sans Pro" panose="020B0503030403020204" pitchFamily="34" charset="0"/>
              </a:rPr>
              <a:t>HANKINNAT</a:t>
            </a:r>
          </a:p>
        </c:rich>
      </c:tx>
      <c:layout>
        <c:manualLayout>
          <c:xMode val="edge"/>
          <c:yMode val="edge"/>
          <c:x val="7.6027023316550188E-3"/>
          <c:y val="0.9376334337162430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accent1"/>
              </a:solidFill>
              <a:latin typeface="Source Sans Pro" panose="020B0503030403020204" pitchFamily="34" charset="0"/>
              <a:ea typeface="Source Sans Pro" panose="020B0503030403020204" pitchFamily="34" charset="0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4900987998046548"/>
          <c:y val="0.28666159281577863"/>
          <c:w val="0.50094201373407965"/>
          <c:h val="0.78350832062058173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797D-4D9B-A808-CE29BE7DAA9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797D-4D9B-A808-CE29BE7DAA9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797D-4D9B-A808-CE29BE7DAA9A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797D-4D9B-A808-CE29BE7DAA9A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797D-4D9B-A808-CE29BE7DAA9A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797D-4D9B-A808-CE29BE7DAA9A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797D-4D9B-A808-CE29BE7DAA9A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797D-4D9B-A808-CE29BE7DAA9A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797D-4D9B-A808-CE29BE7DAA9A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797D-4D9B-A808-CE29BE7DAA9A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797D-4D9B-A808-CE29BE7DAA9A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797D-4D9B-A808-CE29BE7DAA9A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797D-4D9B-A808-CE29BE7DAA9A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B-797D-4D9B-A808-CE29BE7DAA9A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D-797D-4D9B-A808-CE29BE7DAA9A}"/>
              </c:ext>
            </c:extLst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F-797D-4D9B-A808-CE29BE7DAA9A}"/>
              </c:ext>
            </c:extLst>
          </c:dPt>
          <c:dLbls>
            <c:dLbl>
              <c:idx val="0"/>
              <c:layout>
                <c:manualLayout>
                  <c:x val="-0.11189054126642743"/>
                  <c:y val="-1.436256033964359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97D-4D9B-A808-CE29BE7DAA9A}"/>
                </c:ext>
              </c:extLst>
            </c:dLbl>
            <c:dLbl>
              <c:idx val="1"/>
              <c:layout>
                <c:manualLayout>
                  <c:x val="5.0771991846883802E-2"/>
                  <c:y val="-9.329873041278627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97D-4D9B-A808-CE29BE7DAA9A}"/>
                </c:ext>
              </c:extLst>
            </c:dLbl>
            <c:dLbl>
              <c:idx val="2"/>
              <c:layout>
                <c:manualLayout>
                  <c:x val="0.28710105973595407"/>
                  <c:y val="3.225281674673638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97D-4D9B-A808-CE29BE7DAA9A}"/>
                </c:ext>
              </c:extLst>
            </c:dLbl>
            <c:dLbl>
              <c:idx val="3"/>
              <c:layout>
                <c:manualLayout>
                  <c:x val="-0.20078004786846587"/>
                  <c:y val="-0.1273524205691551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97D-4D9B-A808-CE29BE7DAA9A}"/>
                </c:ext>
              </c:extLst>
            </c:dLbl>
            <c:dLbl>
              <c:idx val="4"/>
              <c:layout>
                <c:manualLayout>
                  <c:x val="0.13616475384186"/>
                  <c:y val="-0.1028927603991790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97D-4D9B-A808-CE29BE7DAA9A}"/>
                </c:ext>
              </c:extLst>
            </c:dLbl>
            <c:dLbl>
              <c:idx val="5"/>
              <c:layout>
                <c:manualLayout>
                  <c:x val="-0.2375942556052674"/>
                  <c:y val="1.894974413866750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97D-4D9B-A808-CE29BE7DAA9A}"/>
                </c:ext>
              </c:extLst>
            </c:dLbl>
            <c:dLbl>
              <c:idx val="6"/>
              <c:layout>
                <c:manualLayout>
                  <c:x val="3.0074917327063376E-2"/>
                  <c:y val="-9.102140045895994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797D-4D9B-A808-CE29BE7DAA9A}"/>
                </c:ext>
              </c:extLst>
            </c:dLbl>
            <c:dLbl>
              <c:idx val="7"/>
              <c:layout>
                <c:manualLayout>
                  <c:x val="-0.38453306494582912"/>
                  <c:y val="8.563778517746198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797D-4D9B-A808-CE29BE7DAA9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accent1"/>
                    </a:solidFill>
                    <a:latin typeface="Source Sans Pro" panose="020B0503030403020204" pitchFamily="34" charset="0"/>
                    <a:ea typeface="Source Sans Pro" panose="020B0503030403020204" pitchFamily="34" charset="0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Tausta_Hankinnat!$A$40:$A$52</c:f>
              <c:strCache>
                <c:ptCount val="13"/>
                <c:pt idx="0">
                  <c:v>Partiohuivit, vaatteet ja vaatekankaat</c:v>
                </c:pt>
                <c:pt idx="1">
                  <c:v>Partiomerkit ja ansiomerkit</c:v>
                </c:pt>
                <c:pt idx="2">
                  <c:v>Teltat ja muut retkeilyvälineet</c:v>
                </c:pt>
                <c:pt idx="3">
                  <c:v>Askartelu- ja toimistotarvikkeet</c:v>
                </c:pt>
                <c:pt idx="4">
                  <c:v>Kirjat, lehdet ja esitteet</c:v>
                </c:pt>
                <c:pt idx="5">
                  <c:v>Lasitavarat, astiat ja keittiötyövälineet</c:v>
                </c:pt>
                <c:pt idx="6">
                  <c:v>Kodinkoneet ja työkalut</c:v>
                </c:pt>
                <c:pt idx="7">
                  <c:v>Kalusteet</c:v>
                </c:pt>
                <c:pt idx="8">
                  <c:v>Puu- ja rautakauppatavara</c:v>
                </c:pt>
                <c:pt idx="9">
                  <c:v>Ensiaputarvikkeet</c:v>
                </c:pt>
                <c:pt idx="10">
                  <c:v>Audiovisuaaliset laitteet ja tietokoneet</c:v>
                </c:pt>
                <c:pt idx="11">
                  <c:v>Palvelut</c:v>
                </c:pt>
                <c:pt idx="12">
                  <c:v>Muut hankinnat</c:v>
                </c:pt>
              </c:strCache>
            </c:strRef>
          </c:cat>
          <c:val>
            <c:numRef>
              <c:f>Tausta_Hankinnat!$B$40:$B$52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0-797D-4D9B-A808-CE29BE7DAA9A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28575" cap="flat" cmpd="sng" algn="ctr">
      <a:solidFill>
        <a:schemeClr val="tx2"/>
      </a:solidFill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accent1"/>
                </a:solidFill>
                <a:latin typeface="Source Sans Pro" panose="020B0503030403020204" pitchFamily="34" charset="0"/>
                <a:ea typeface="Source Sans Pro" panose="020B0503030403020204" pitchFamily="34" charset="0"/>
                <a:cs typeface="+mn-cs"/>
              </a:defRPr>
            </a:pPr>
            <a:r>
              <a:rPr lang="en-GB" sz="1600" b="1">
                <a:solidFill>
                  <a:schemeClr val="accent1"/>
                </a:solidFill>
                <a:latin typeface="Source Sans Pro" panose="020B0503030403020204" pitchFamily="34" charset="0"/>
                <a:ea typeface="Source Sans Pro" panose="020B0503030403020204" pitchFamily="34" charset="0"/>
              </a:rPr>
              <a:t>POLTTO</a:t>
            </a:r>
          </a:p>
        </c:rich>
      </c:tx>
      <c:layout>
        <c:manualLayout>
          <c:xMode val="edge"/>
          <c:yMode val="edge"/>
          <c:x val="7.6027023316550188E-3"/>
          <c:y val="0.9376334337162430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accent1"/>
              </a:solidFill>
              <a:latin typeface="Source Sans Pro" panose="020B0503030403020204" pitchFamily="34" charset="0"/>
              <a:ea typeface="Source Sans Pro" panose="020B0503030403020204" pitchFamily="34" charset="0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4900987998046548"/>
          <c:y val="0.28666159281577863"/>
          <c:w val="0.50094201373407965"/>
          <c:h val="0.78350832062058173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472-4915-A09A-90A8D9B1F8B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472-4915-A09A-90A8D9B1F8B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3472-4915-A09A-90A8D9B1F8BF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3472-4915-A09A-90A8D9B1F8B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3472-4915-A09A-90A8D9B1F8BF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3472-4915-A09A-90A8D9B1F8BF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3472-4915-A09A-90A8D9B1F8BF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3472-4915-A09A-90A8D9B1F8BF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3472-4915-A09A-90A8D9B1F8BF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3472-4915-A09A-90A8D9B1F8BF}"/>
              </c:ext>
            </c:extLst>
          </c:dPt>
          <c:dLbls>
            <c:dLbl>
              <c:idx val="0"/>
              <c:layout>
                <c:manualLayout>
                  <c:x val="-0.11189054126642743"/>
                  <c:y val="-1.436256033964359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472-4915-A09A-90A8D9B1F8BF}"/>
                </c:ext>
              </c:extLst>
            </c:dLbl>
            <c:dLbl>
              <c:idx val="1"/>
              <c:layout>
                <c:manualLayout>
                  <c:x val="5.0771991846883802E-2"/>
                  <c:y val="-9.329873041278627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472-4915-A09A-90A8D9B1F8BF}"/>
                </c:ext>
              </c:extLst>
            </c:dLbl>
            <c:dLbl>
              <c:idx val="2"/>
              <c:layout>
                <c:manualLayout>
                  <c:x val="0.28710105973595407"/>
                  <c:y val="3.225281674673638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472-4915-A09A-90A8D9B1F8BF}"/>
                </c:ext>
              </c:extLst>
            </c:dLbl>
            <c:dLbl>
              <c:idx val="3"/>
              <c:layout>
                <c:manualLayout>
                  <c:x val="-0.20078004786846587"/>
                  <c:y val="-0.1273524205691551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472-4915-A09A-90A8D9B1F8BF}"/>
                </c:ext>
              </c:extLst>
            </c:dLbl>
            <c:dLbl>
              <c:idx val="4"/>
              <c:layout>
                <c:manualLayout>
                  <c:x val="0.13616475384186"/>
                  <c:y val="-0.1028927603991790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472-4915-A09A-90A8D9B1F8BF}"/>
                </c:ext>
              </c:extLst>
            </c:dLbl>
            <c:dLbl>
              <c:idx val="5"/>
              <c:layout>
                <c:manualLayout>
                  <c:x val="-0.2375942556052674"/>
                  <c:y val="1.894974413866750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472-4915-A09A-90A8D9B1F8BF}"/>
                </c:ext>
              </c:extLst>
            </c:dLbl>
            <c:dLbl>
              <c:idx val="6"/>
              <c:layout>
                <c:manualLayout>
                  <c:x val="3.0074917327063376E-2"/>
                  <c:y val="-9.102140045895994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3472-4915-A09A-90A8D9B1F8BF}"/>
                </c:ext>
              </c:extLst>
            </c:dLbl>
            <c:dLbl>
              <c:idx val="7"/>
              <c:layout>
                <c:manualLayout>
                  <c:x val="-0.38453306494582912"/>
                  <c:y val="8.563778517746198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3472-4915-A09A-90A8D9B1F8B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accent1"/>
                    </a:solidFill>
                    <a:latin typeface="Source Sans Pro" panose="020B0503030403020204" pitchFamily="34" charset="0"/>
                    <a:ea typeface="Source Sans Pro" panose="020B0503030403020204" pitchFamily="34" charset="0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Tausta_Hankinnat!$A$53:$A$56</c:f>
              <c:strCache>
                <c:ptCount val="4"/>
                <c:pt idx="0">
                  <c:v>Polttopuu </c:v>
                </c:pt>
                <c:pt idx="1">
                  <c:v>Nestekaasu </c:v>
                </c:pt>
                <c:pt idx="2">
                  <c:v>Diesel </c:v>
                </c:pt>
                <c:pt idx="3">
                  <c:v>Polttoöljy, valopetroli ym. </c:v>
                </c:pt>
              </c:strCache>
            </c:strRef>
          </c:cat>
          <c:val>
            <c:numRef>
              <c:f>Tausta_Hankinnat!$B$53:$B$56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3472-4915-A09A-90A8D9B1F8BF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28575" cap="flat" cmpd="sng" algn="ctr">
      <a:solidFill>
        <a:schemeClr val="accent1"/>
      </a:solidFill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accent1"/>
                </a:solidFill>
                <a:latin typeface="Source Sans Pro" panose="020B0503030403020204" pitchFamily="34" charset="0"/>
                <a:ea typeface="Source Sans Pro" panose="020B0503030403020204" pitchFamily="34" charset="0"/>
                <a:cs typeface="+mn-cs"/>
              </a:defRPr>
            </a:pPr>
            <a:r>
              <a:rPr lang="en-GB" sz="1600" b="1">
                <a:solidFill>
                  <a:schemeClr val="accent1"/>
                </a:solidFill>
                <a:latin typeface="Source Sans Pro" panose="020B0503030403020204" pitchFamily="34" charset="0"/>
                <a:ea typeface="Source Sans Pro" panose="020B0503030403020204" pitchFamily="34" charset="0"/>
              </a:rPr>
              <a:t>TAPAHTUMAT</a:t>
            </a:r>
          </a:p>
        </c:rich>
      </c:tx>
      <c:layout>
        <c:manualLayout>
          <c:xMode val="edge"/>
          <c:yMode val="edge"/>
          <c:x val="7.6027023316550188E-3"/>
          <c:y val="0.9376334337162430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accent1"/>
              </a:solidFill>
              <a:latin typeface="Source Sans Pro" panose="020B0503030403020204" pitchFamily="34" charset="0"/>
              <a:ea typeface="Source Sans Pro" panose="020B0503030403020204" pitchFamily="34" charset="0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4900987998046548"/>
          <c:y val="0.28666159281577863"/>
          <c:w val="0.50094201373407965"/>
          <c:h val="0.78350832062058173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9DB-49C9-B9B9-E70B2014897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9DB-49C9-B9B9-E70B2014897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39DB-49C9-B9B9-E70B2014897E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39DB-49C9-B9B9-E70B2014897E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39DB-49C9-B9B9-E70B2014897E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39DB-49C9-B9B9-E70B2014897E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39DB-49C9-B9B9-E70B2014897E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39DB-49C9-B9B9-E70B2014897E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39DB-49C9-B9B9-E70B2014897E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39DB-49C9-B9B9-E70B2014897E}"/>
              </c:ext>
            </c:extLst>
          </c:dPt>
          <c:dLbls>
            <c:dLbl>
              <c:idx val="0"/>
              <c:layout>
                <c:manualLayout>
                  <c:x val="-0.11189054126642743"/>
                  <c:y val="-1.436256033964359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9DB-49C9-B9B9-E70B2014897E}"/>
                </c:ext>
              </c:extLst>
            </c:dLbl>
            <c:dLbl>
              <c:idx val="1"/>
              <c:layout>
                <c:manualLayout>
                  <c:x val="5.0771991846883802E-2"/>
                  <c:y val="-9.329873041278627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9DB-49C9-B9B9-E70B2014897E}"/>
                </c:ext>
              </c:extLst>
            </c:dLbl>
            <c:dLbl>
              <c:idx val="2"/>
              <c:layout>
                <c:manualLayout>
                  <c:x val="0.28710105973595407"/>
                  <c:y val="3.225281674673638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9DB-49C9-B9B9-E70B2014897E}"/>
                </c:ext>
              </c:extLst>
            </c:dLbl>
            <c:dLbl>
              <c:idx val="3"/>
              <c:layout>
                <c:manualLayout>
                  <c:x val="-0.20078004786846587"/>
                  <c:y val="-0.1273524205691551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9DB-49C9-B9B9-E70B2014897E}"/>
                </c:ext>
              </c:extLst>
            </c:dLbl>
            <c:dLbl>
              <c:idx val="4"/>
              <c:layout>
                <c:manualLayout>
                  <c:x val="0.13616475384186"/>
                  <c:y val="-0.1028927603991790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9DB-49C9-B9B9-E70B2014897E}"/>
                </c:ext>
              </c:extLst>
            </c:dLbl>
            <c:dLbl>
              <c:idx val="5"/>
              <c:layout>
                <c:manualLayout>
                  <c:x val="-0.2375942556052674"/>
                  <c:y val="1.894974413866750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9DB-49C9-B9B9-E70B2014897E}"/>
                </c:ext>
              </c:extLst>
            </c:dLbl>
            <c:dLbl>
              <c:idx val="6"/>
              <c:layout>
                <c:manualLayout>
                  <c:x val="2.5431708237939138E-2"/>
                  <c:y val="-0.1637211627179627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39DB-49C9-B9B9-E70B2014897E}"/>
                </c:ext>
              </c:extLst>
            </c:dLbl>
            <c:dLbl>
              <c:idx val="7"/>
              <c:layout>
                <c:manualLayout>
                  <c:x val="-0.38453306494582912"/>
                  <c:y val="8.563778517746198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39DB-49C9-B9B9-E70B2014897E}"/>
                </c:ext>
              </c:extLst>
            </c:dLbl>
            <c:numFmt formatCode="0%;;;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accent1"/>
                    </a:solidFill>
                    <a:latin typeface="Source Sans Pro" panose="020B0503030403020204" pitchFamily="34" charset="0"/>
                    <a:ea typeface="Source Sans Pro" panose="020B0503030403020204" pitchFamily="34" charset="0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Tausta_Tapahtumat!$E$4:$E$7</c:f>
              <c:strCache>
                <c:ptCount val="4"/>
                <c:pt idx="0">
                  <c:v>Muualla lasketut tapahtumat</c:v>
                </c:pt>
                <c:pt idx="1">
                  <c:v>Ruoka</c:v>
                </c:pt>
                <c:pt idx="2">
                  <c:v>Matkustaminen</c:v>
                </c:pt>
                <c:pt idx="3">
                  <c:v>Hankinnat</c:v>
                </c:pt>
              </c:strCache>
            </c:strRef>
          </c:cat>
          <c:val>
            <c:numRef>
              <c:f>Tausta_Tapahtumat!$F$4:$F$7</c:f>
              <c:numCache>
                <c:formatCode>0.00</c:formatCode>
                <c:ptCount val="4"/>
                <c:pt idx="0" formatCode="General">
                  <c:v>0</c:v>
                </c:pt>
                <c:pt idx="1">
                  <c:v>0</c:v>
                </c:pt>
                <c:pt idx="2" formatCode="_-* #,##0_-;\-* #,##0_-;_-* &quot;-&quot;??_-;_-@_-">
                  <c:v>0</c:v>
                </c:pt>
                <c:pt idx="3" formatCode="_-* #,##0_-;\-* #,##0_-;_-* &quot;-&quot;??_-;_-@_-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39DB-49C9-B9B9-E70B2014897E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28575" cap="flat" cmpd="sng" algn="ctr">
      <a:solidFill>
        <a:schemeClr val="accent1"/>
      </a:solidFill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4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5" Type="http://schemas.openxmlformats.org/officeDocument/2006/relationships/chart" Target="../charts/chart6.xml"/><Relationship Id="rId4" Type="http://schemas.openxmlformats.org/officeDocument/2006/relationships/chart" Target="../charts/chart5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1087120</xdr:colOff>
      <xdr:row>3</xdr:row>
      <xdr:rowOff>27940</xdr:rowOff>
    </xdr:from>
    <xdr:to>
      <xdr:col>9</xdr:col>
      <xdr:colOff>2397125</xdr:colOff>
      <xdr:row>29</xdr:row>
      <xdr:rowOff>15875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A4B94035-8C95-4D4D-8484-5E0D36A5166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11</xdr:col>
      <xdr:colOff>892169</xdr:colOff>
      <xdr:row>3</xdr:row>
      <xdr:rowOff>419396</xdr:rowOff>
    </xdr:from>
    <xdr:to>
      <xdr:col>13</xdr:col>
      <xdr:colOff>898778</xdr:colOff>
      <xdr:row>5</xdr:row>
      <xdr:rowOff>858520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C2C841CF-44C9-4FF6-B1BE-F1B9EEFEE0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632779" y="975656"/>
          <a:ext cx="4830069" cy="1780244"/>
        </a:xfrm>
        <a:prstGeom prst="rect">
          <a:avLst/>
        </a:prstGeom>
      </xdr:spPr>
    </xdr:pic>
    <xdr:clientData/>
  </xdr:twoCellAnchor>
  <xdr:twoCellAnchor editAs="oneCell">
    <xdr:from>
      <xdr:col>11</xdr:col>
      <xdr:colOff>880382</xdr:colOff>
      <xdr:row>15</xdr:row>
      <xdr:rowOff>116749</xdr:rowOff>
    </xdr:from>
    <xdr:to>
      <xdr:col>13</xdr:col>
      <xdr:colOff>818605</xdr:colOff>
      <xdr:row>18</xdr:row>
      <xdr:rowOff>2185</xdr:rowOff>
    </xdr:to>
    <xdr:pic>
      <xdr:nvPicPr>
        <xdr:cNvPr id="8" name="Kuva 4">
          <a:extLst>
            <a:ext uri="{FF2B5EF4-FFF2-40B4-BE49-F238E27FC236}">
              <a16:creationId xmlns:a16="http://schemas.microsoft.com/office/drawing/2014/main" id="{E9DA3923-3366-49A2-B01B-FEC0B78A7F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620992" y="8395879"/>
          <a:ext cx="4769303" cy="867053"/>
        </a:xfrm>
        <a:prstGeom prst="rect">
          <a:avLst/>
        </a:prstGeom>
      </xdr:spPr>
    </xdr:pic>
    <xdr:clientData/>
  </xdr:twoCellAnchor>
  <xdr:twoCellAnchor editAs="oneCell">
    <xdr:from>
      <xdr:col>11</xdr:col>
      <xdr:colOff>231372</xdr:colOff>
      <xdr:row>8</xdr:row>
      <xdr:rowOff>221524</xdr:rowOff>
    </xdr:from>
    <xdr:to>
      <xdr:col>13</xdr:col>
      <xdr:colOff>1279140</xdr:colOff>
      <xdr:row>9</xdr:row>
      <xdr:rowOff>135148</xdr:rowOff>
    </xdr:to>
    <xdr:pic>
      <xdr:nvPicPr>
        <xdr:cNvPr id="9" name="Kuva 6">
          <a:extLst>
            <a:ext uri="{FF2B5EF4-FFF2-40B4-BE49-F238E27FC236}">
              <a16:creationId xmlns:a16="http://schemas.microsoft.com/office/drawing/2014/main" id="{94FEA510-8722-4D10-A6B7-CFB1252639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971982" y="4103914"/>
          <a:ext cx="5871228" cy="233643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58238</xdr:colOff>
      <xdr:row>0</xdr:row>
      <xdr:rowOff>40822</xdr:rowOff>
    </xdr:from>
    <xdr:to>
      <xdr:col>13</xdr:col>
      <xdr:colOff>352699</xdr:colOff>
      <xdr:row>26</xdr:row>
      <xdr:rowOff>168592</xdr:rowOff>
    </xdr:to>
    <xdr:graphicFrame macro="">
      <xdr:nvGraphicFramePr>
        <xdr:cNvPr id="3" name="Chart 3">
          <a:extLst>
            <a:ext uri="{FF2B5EF4-FFF2-40B4-BE49-F238E27FC236}">
              <a16:creationId xmlns:a16="http://schemas.microsoft.com/office/drawing/2014/main" id="{58E9DFDE-11EF-4E36-B920-45CF331B1B0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68036</xdr:colOff>
      <xdr:row>28</xdr:row>
      <xdr:rowOff>21771</xdr:rowOff>
    </xdr:from>
    <xdr:to>
      <xdr:col>13</xdr:col>
      <xdr:colOff>366307</xdr:colOff>
      <xdr:row>73</xdr:row>
      <xdr:rowOff>79056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EE9DB7AD-8224-4BD3-9F64-7FA121DA80F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81643</xdr:colOff>
      <xdr:row>75</xdr:row>
      <xdr:rowOff>15513</xdr:rowOff>
    </xdr:from>
    <xdr:to>
      <xdr:col>13</xdr:col>
      <xdr:colOff>379914</xdr:colOff>
      <xdr:row>108</xdr:row>
      <xdr:rowOff>67083</xdr:rowOff>
    </xdr:to>
    <xdr:graphicFrame macro="">
      <xdr:nvGraphicFramePr>
        <xdr:cNvPr id="5" name="Chart 3">
          <a:extLst>
            <a:ext uri="{FF2B5EF4-FFF2-40B4-BE49-F238E27FC236}">
              <a16:creationId xmlns:a16="http://schemas.microsoft.com/office/drawing/2014/main" id="{444C7F94-8CB2-44BE-B5DA-E324D7197CF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81643</xdr:colOff>
      <xdr:row>109</xdr:row>
      <xdr:rowOff>141788</xdr:rowOff>
    </xdr:from>
    <xdr:to>
      <xdr:col>13</xdr:col>
      <xdr:colOff>379914</xdr:colOff>
      <xdr:row>138</xdr:row>
      <xdr:rowOff>27623</xdr:rowOff>
    </xdr:to>
    <xdr:graphicFrame macro="">
      <xdr:nvGraphicFramePr>
        <xdr:cNvPr id="6" name="Chart 3">
          <a:extLst>
            <a:ext uri="{FF2B5EF4-FFF2-40B4-BE49-F238E27FC236}">
              <a16:creationId xmlns:a16="http://schemas.microsoft.com/office/drawing/2014/main" id="{EB4BFEB6-BDF3-4AD2-9D59-5F5D602060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75655</xdr:colOff>
      <xdr:row>139</xdr:row>
      <xdr:rowOff>59599</xdr:rowOff>
    </xdr:from>
    <xdr:to>
      <xdr:col>13</xdr:col>
      <xdr:colOff>360591</xdr:colOff>
      <xdr:row>180</xdr:row>
      <xdr:rowOff>55924</xdr:rowOff>
    </xdr:to>
    <xdr:graphicFrame macro="">
      <xdr:nvGraphicFramePr>
        <xdr:cNvPr id="7" name="Chart 3">
          <a:extLst>
            <a:ext uri="{FF2B5EF4-FFF2-40B4-BE49-F238E27FC236}">
              <a16:creationId xmlns:a16="http://schemas.microsoft.com/office/drawing/2014/main" id="{688E6F76-4FD6-46BD-A79A-DF0605093F1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142874</xdr:colOff>
      <xdr:row>9</xdr:row>
      <xdr:rowOff>68580</xdr:rowOff>
    </xdr:from>
    <xdr:to>
      <xdr:col>12</xdr:col>
      <xdr:colOff>106045</xdr:colOff>
      <xdr:row>27</xdr:row>
      <xdr:rowOff>97588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40FBBBB-65DB-4CE8-933C-E4EA88F41C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886824" y="1744980"/>
          <a:ext cx="4689476" cy="3301798"/>
        </a:xfrm>
        <a:prstGeom prst="rect">
          <a:avLst/>
        </a:prstGeom>
      </xdr:spPr>
    </xdr:pic>
    <xdr:clientData/>
  </xdr:twoCellAnchor>
  <xdr:twoCellAnchor editAs="oneCell">
    <xdr:from>
      <xdr:col>4</xdr:col>
      <xdr:colOff>107950</xdr:colOff>
      <xdr:row>27</xdr:row>
      <xdr:rowOff>95884</xdr:rowOff>
    </xdr:from>
    <xdr:to>
      <xdr:col>13</xdr:col>
      <xdr:colOff>364667</xdr:colOff>
      <xdr:row>47</xdr:row>
      <xdr:rowOff>130809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379D7F4-A3F1-40FF-913B-33D599F678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851900" y="5048884"/>
          <a:ext cx="5575477" cy="366776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ussi/Downloads/Vuola%20v0.9_kommenti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askenta"/>
      <sheetName val="Kuvaajat"/>
      <sheetName val="Tausta_Ajoneuvot"/>
      <sheetName val="Päästökertoimet ja muut"/>
      <sheetName val="Tausta_Energia"/>
      <sheetName val="Tausta_Työmatkat"/>
      <sheetName val="Tausta_Hankinnat"/>
      <sheetName val="Tausta_Tapahtumat"/>
      <sheetName val="Tausta_Liikematkat"/>
      <sheetName val="Jätteet_Lajiteltu"/>
      <sheetName val="Jätteet_Poltto"/>
      <sheetName val="Tausta_Jätteet"/>
      <sheetName val="Listat"/>
    </sheetNames>
    <sheetDataSet>
      <sheetData sheetId="0">
        <row r="144">
          <cell r="C144" t="str">
            <v>Lennot: kotimaa</v>
          </cell>
        </row>
        <row r="145">
          <cell r="C145" t="str">
            <v>Lennot: ulkomaa</v>
          </cell>
        </row>
        <row r="146">
          <cell r="C146" t="str">
            <v>Kilometrikorvausten alaiset kilometrit autolla</v>
          </cell>
        </row>
        <row r="147">
          <cell r="C147" t="str">
            <v>Liikematkat junalla</v>
          </cell>
        </row>
        <row r="148">
          <cell r="C148" t="str">
            <v>Liikematkat bussilla</v>
          </cell>
        </row>
        <row r="150">
          <cell r="C150" t="str">
            <v>Taksimatkat</v>
          </cell>
        </row>
        <row r="151">
          <cell r="C151" t="str">
            <v>Laivamatkat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-teema">
  <a:themeElements>
    <a:clrScheme name="Partio">
      <a:dk1>
        <a:srgbClr val="000000"/>
      </a:dk1>
      <a:lt1>
        <a:srgbClr val="FFFFFF"/>
      </a:lt1>
      <a:dk2>
        <a:srgbClr val="253764"/>
      </a:dk2>
      <a:lt2>
        <a:srgbClr val="28A9E1"/>
      </a:lt2>
      <a:accent1>
        <a:srgbClr val="253764"/>
      </a:accent1>
      <a:accent2>
        <a:srgbClr val="28A9E1"/>
      </a:accent2>
      <a:accent3>
        <a:srgbClr val="EFA01E"/>
      </a:accent3>
      <a:accent4>
        <a:srgbClr val="F0E005"/>
      </a:accent4>
      <a:accent5>
        <a:srgbClr val="14A54B"/>
      </a:accent5>
      <a:accent6>
        <a:srgbClr val="F04150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tradeka.fi/vastuullisuus/hanketoiminnan-ilmastolaskuri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ytl.fi/files/146/Turun_yliopiston_Logistiikkaselvitys-2018-FINAL.pdf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www.ytl.fi/files/146/Turun_yliopiston_Logistiikkaselvitys-2018-FINAL.pdf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hyperlink" Target="https://julkaisut.valtioneuvosto.fi/bitstream/handle/10024/163316/YM_2021_24.pdf;jsessionid=D0AA12DBD1F14DF3033BCD73A32A5217?sequence=1" TargetMode="External"/><Relationship Id="rId1" Type="http://schemas.openxmlformats.org/officeDocument/2006/relationships/hyperlink" Target="https://julkaisut.valtioneuvosto.fi/bitstream/handle/10024/163316/YM_2021_24.pdf;jsessionid=D0AA12DBD1F14DF3033BCD73A32A5217?sequence=1" TargetMode="External"/><Relationship Id="rId4" Type="http://schemas.openxmlformats.org/officeDocument/2006/relationships/drawing" Target="../drawings/drawing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healthyworkstations.com/resources/Environment/FIRA.CarbonFootprint.pdf" TargetMode="External"/><Relationship Id="rId18" Type="http://schemas.openxmlformats.org/officeDocument/2006/relationships/hyperlink" Target="https://ec.europa.eu/energy/sites/ener/files/documents/Study%20on%20Actual%20GHG%20Data%20Oil%20Gas%20Final%20Report.pdf" TargetMode="External"/><Relationship Id="rId26" Type="http://schemas.openxmlformats.org/officeDocument/2006/relationships/hyperlink" Target="http://lipasto.vtt.fi/yksikkopaastot/henkiloliikenne/tieliikenne/henkiloautot/hakaasu.htm" TargetMode="External"/><Relationship Id="rId3" Type="http://schemas.openxmlformats.org/officeDocument/2006/relationships/hyperlink" Target="http://lipasto.vtt.fi/yksikkopaastot/henkiloliikenne/raideliikenne/intercitysahko.htm" TargetMode="External"/><Relationship Id="rId21" Type="http://schemas.openxmlformats.org/officeDocument/2006/relationships/hyperlink" Target="http://lipasto.vtt.fi/yksikkopaastot/tunnusluvut/tunnusluvuttie.htm" TargetMode="External"/><Relationship Id="rId34" Type="http://schemas.openxmlformats.org/officeDocument/2006/relationships/hyperlink" Target="https://www.iea.org/data-and-statistics/charts/assumptions-for-energy-intensity-of-data-centres-data-transmission-networks-and-devices-in-2019'" TargetMode="External"/><Relationship Id="rId7" Type="http://schemas.openxmlformats.org/officeDocument/2006/relationships/hyperlink" Target="https://pxhopea2.stat.fi/sahkoiset_julkaisut/energia2020/html/suom0011.htm" TargetMode="External"/><Relationship Id="rId12" Type="http://schemas.openxmlformats.org/officeDocument/2006/relationships/hyperlink" Target="http://lipasto.vtt.fi/yksikkopaastot/tavaraliikenne/tieliikenne/kajaksuurijakelu.htm" TargetMode="External"/><Relationship Id="rId17" Type="http://schemas.openxmlformats.org/officeDocument/2006/relationships/hyperlink" Target="https://ec.europa.eu/energy/sites/ener/files/documents/Study%20on%20Actual%20GHG%20Data%20Oil%20Gas%20Final%20Report.pdf" TargetMode="External"/><Relationship Id="rId25" Type="http://schemas.openxmlformats.org/officeDocument/2006/relationships/hyperlink" Target="http://lipasto.vtt.fi/yksikkopaastot/henkiloliikenne/tieliikenne/henkiloautot/hasahko.htm" TargetMode="External"/><Relationship Id="rId33" Type="http://schemas.openxmlformats.org/officeDocument/2006/relationships/hyperlink" Target="https://www.hotelfootprints.org/footprinting" TargetMode="External"/><Relationship Id="rId2" Type="http://schemas.openxmlformats.org/officeDocument/2006/relationships/hyperlink" Target="http://lipasto.vtt.fi/yksikkopaastot/henkiloliikenne/tieliikenne/linja-autot/bussilinjaautokeskimaarin.htm" TargetMode="External"/><Relationship Id="rId16" Type="http://schemas.openxmlformats.org/officeDocument/2006/relationships/hyperlink" Target="https://www.neste.fi/vastuulliset-ratkaisut/tuotteet/uusiutuvat-polttoaineet/neste-my-uusiutuva-diesel/pienemmat-paastot" TargetMode="External"/><Relationship Id="rId20" Type="http://schemas.openxmlformats.org/officeDocument/2006/relationships/hyperlink" Target="https://ec.europa.eu/energy/sites/ener/files/documents/Study%20on%20Actual%20GHG%20Data%20Oil%20Gas%20Final%20Report.pdf" TargetMode="External"/><Relationship Id="rId29" Type="http://schemas.openxmlformats.org/officeDocument/2006/relationships/hyperlink" Target="http://lipasto.vtt.fi/yksikkopaastot/henkiloliikenne/tieliikenne/henkiloautot/hakaasu.htm" TargetMode="External"/><Relationship Id="rId1" Type="http://schemas.openxmlformats.org/officeDocument/2006/relationships/hyperlink" Target="https://www.hotelfootprints.org/footprinting" TargetMode="External"/><Relationship Id="rId6" Type="http://schemas.openxmlformats.org/officeDocument/2006/relationships/hyperlink" Target="http://lipasto.vtt.fi/yksikkopaastot/henkiloliikenne/raideliikenne/flirtlahisahko.htm" TargetMode="External"/><Relationship Id="rId11" Type="http://schemas.openxmlformats.org/officeDocument/2006/relationships/hyperlink" Target="https://www.neste.fi/vastuulliset-ratkaisut/tuotteet/uusiutuvat-polttoaineet/neste-my-uusiutuva-diesel/pienemmat-paastot" TargetMode="External"/><Relationship Id="rId24" Type="http://schemas.openxmlformats.org/officeDocument/2006/relationships/hyperlink" Target="http://lipasto.vtt.fi/yksikkopaastot/henkiloliikenne/tieliikenne/henkiloautot/hakaasu.htm" TargetMode="External"/><Relationship Id="rId32" Type="http://schemas.openxmlformats.org/officeDocument/2006/relationships/hyperlink" Target="http://lipasto.vtt.fi/yksikkopaastot/henkiloliikenne/vesiliikenne/autolautta.htm" TargetMode="External"/><Relationship Id="rId5" Type="http://schemas.openxmlformats.org/officeDocument/2006/relationships/hyperlink" Target="http://lipasto.vtt.fi/yksikkopaastot/henkiloliikenne/raideliikenne/sm4lahisahko.htm" TargetMode="External"/><Relationship Id="rId15" Type="http://schemas.openxmlformats.org/officeDocument/2006/relationships/hyperlink" Target="http://lipasto.vtt.fi/yksikkopaastot/henkiloliikenne/tieliikenne/henkiloautot/hayht.htm" TargetMode="External"/><Relationship Id="rId23" Type="http://schemas.openxmlformats.org/officeDocument/2006/relationships/hyperlink" Target="http://lipasto.vtt.fi/yksikkopaastot/henkiloliikenne/tieliikenne/henkiloautot/hakaasu.htm" TargetMode="External"/><Relationship Id="rId28" Type="http://schemas.openxmlformats.org/officeDocument/2006/relationships/hyperlink" Target="http://lipasto.vtt.fi/yksikkopaastot/henkiloliikenne/tieliikenne/henkiloautot/hakaasu.htm" TargetMode="External"/><Relationship Id="rId36" Type="http://schemas.openxmlformats.org/officeDocument/2006/relationships/hyperlink" Target="http://lipasto.vtt.fi/yksikkopaastot/henkiloliikenne/tieliikenne/linja-autot/bussilinjaautokeskimaarin.htm" TargetMode="External"/><Relationship Id="rId10" Type="http://schemas.openxmlformats.org/officeDocument/2006/relationships/hyperlink" Target="https://ec.europa.eu/energy/sites/ener/files/documents/Study%20on%20Actual%20GHG%20Data%20Oil%20Gas%20Final%20Report.pdf" TargetMode="External"/><Relationship Id="rId19" Type="http://schemas.openxmlformats.org/officeDocument/2006/relationships/hyperlink" Target="http://lipasto.vtt.fi/yksikkopaastot/henkiloliikenne/tieliikenne/henkiloautot/hadies.htm" TargetMode="External"/><Relationship Id="rId31" Type="http://schemas.openxmlformats.org/officeDocument/2006/relationships/hyperlink" Target="https://www.ilmastopaneeli.fi/autokalkulaattori/" TargetMode="External"/><Relationship Id="rId4" Type="http://schemas.openxmlformats.org/officeDocument/2006/relationships/hyperlink" Target="http://lipasto.vtt.fi/yksikkopaastot/henkiloliikenne/raideliikenne/pendolinosahko.htm" TargetMode="External"/><Relationship Id="rId9" Type="http://schemas.openxmlformats.org/officeDocument/2006/relationships/hyperlink" Target="http://lipasto.vtt.fi/yksikkopaastot/henkiloliikenne/tieliikenne/henkiloautot/hayht.htm" TargetMode="External"/><Relationship Id="rId14" Type="http://schemas.openxmlformats.org/officeDocument/2006/relationships/hyperlink" Target="http://www.healthyworkstations.com/resources/Environment/FIRA.CarbonFootprint.pdf" TargetMode="External"/><Relationship Id="rId22" Type="http://schemas.openxmlformats.org/officeDocument/2006/relationships/hyperlink" Target="http://lipasto.vtt.fi/yksikkopaastot/tunnusluvut/tunnusluvuttie.htm" TargetMode="External"/><Relationship Id="rId27" Type="http://schemas.openxmlformats.org/officeDocument/2006/relationships/hyperlink" Target="http://lipasto.vtt.fi/yksikkopaastot/henkiloliikenne/tieliikenne/henkiloautot/hakaasu.htm" TargetMode="External"/><Relationship Id="rId30" Type="http://schemas.openxmlformats.org/officeDocument/2006/relationships/hyperlink" Target="http://lipasto.vtt.fi/yksikkopaastot/henkiloliikenne/tieliikenne/henkiloautot/hakaasu.htm" TargetMode="External"/><Relationship Id="rId35" Type="http://schemas.openxmlformats.org/officeDocument/2006/relationships/hyperlink" Target="https://www.iea.org/data-and-statistics/charts/assumptions-for-energy-intensity-of-data-centres-data-transmission-networks-and-devices-in-2019'" TargetMode="External"/><Relationship Id="rId8" Type="http://schemas.openxmlformats.org/officeDocument/2006/relationships/hyperlink" Target="http://lipasto.vtt.fi/yksikkopaastot/henkiloliikenne/tieliikenne/linja-autot/bussilinjaautokeskimaarin.htm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motiva.fi/files/15570/Palvelusektorin_ominaiskulutukset_2011-2017.pdf" TargetMode="External"/><Relationship Id="rId7" Type="http://schemas.openxmlformats.org/officeDocument/2006/relationships/printerSettings" Target="../printerSettings/printerSettings2.bin"/><Relationship Id="rId2" Type="http://schemas.openxmlformats.org/officeDocument/2006/relationships/hyperlink" Target="https://www.motiva.fi/files/15570/Palvelusektorin_ominaiskulutukset_2011-2017.pdf" TargetMode="External"/><Relationship Id="rId1" Type="http://schemas.openxmlformats.org/officeDocument/2006/relationships/hyperlink" Target="https://www.motiva.fi/files/15570/Palvelusektorin_ominaiskulutukset_2011-2017.pdf" TargetMode="External"/><Relationship Id="rId6" Type="http://schemas.openxmlformats.org/officeDocument/2006/relationships/hyperlink" Target="https://www.motiva.fi/files/15570/Palvelusektorin_ominaiskulutukset_2011-2017.pdf" TargetMode="External"/><Relationship Id="rId5" Type="http://schemas.openxmlformats.org/officeDocument/2006/relationships/hyperlink" Target="https://www.motiva.fi/files/15570/Palvelusektorin_ominaiskulutukset_2011-2017.pdf" TargetMode="External"/><Relationship Id="rId4" Type="http://schemas.openxmlformats.org/officeDocument/2006/relationships/hyperlink" Target="https://www.motiva.fi/files/15570/Palvelusektorin_ominaiskulutukset_2011-2017.pdf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ficom.fi/sites/default/files/media/file/Faktakortti-HLT2016-tyomatkat.pdf" TargetMode="External"/><Relationship Id="rId1" Type="http://schemas.openxmlformats.org/officeDocument/2006/relationships/hyperlink" Target="https://www.traficom.fi/fi/ajankohtaista/julkaisut/valtakunnallinen-henkiloliikennetutkimus?toggle=Ty%C3%B6matkat&amp;toggle=Kotimaan%20pitk%C3%A4t%20%28yli%20100%20km%29%20matkat" TargetMode="Externa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hyperlink" Target="https://helda.helsinki.fi/bitstream/handle/10138/300737/SYKEra_15_2019_korjattu_26_02_2020.pdf?sequence=4&amp;isAllowed=y" TargetMode="External"/><Relationship Id="rId13" Type="http://schemas.openxmlformats.org/officeDocument/2006/relationships/printerSettings" Target="../printerSettings/printerSettings3.bin"/><Relationship Id="rId3" Type="http://schemas.openxmlformats.org/officeDocument/2006/relationships/hyperlink" Target="https://helda.helsinki.fi/bitstream/handle/10138/300737/SYKEra_15_2019_korjattu_26_02_2020.pdf?sequence=4&amp;isAllowed=y" TargetMode="External"/><Relationship Id="rId7" Type="http://schemas.openxmlformats.org/officeDocument/2006/relationships/hyperlink" Target="https://helda.helsinki.fi/bitstream/handle/10138/300737/SYKEra_15_2019_korjattu_26_02_2020.pdf?sequence=4&amp;isAllowed=y" TargetMode="External"/><Relationship Id="rId12" Type="http://schemas.openxmlformats.org/officeDocument/2006/relationships/hyperlink" Target="https://www.posti.com/vastuullisuus/ymparisto/kompensointi/" TargetMode="External"/><Relationship Id="rId2" Type="http://schemas.openxmlformats.org/officeDocument/2006/relationships/hyperlink" Target="https://helda.helsinki.fi/bitstream/handle/10138/300737/SYKEra_15_2019_korjattu_26_02_2020.pdf?sequence=4&amp;isAllowed=y" TargetMode="External"/><Relationship Id="rId1" Type="http://schemas.openxmlformats.org/officeDocument/2006/relationships/hyperlink" Target="https://helda.helsinki.fi/bitstream/handle/10138/300737/SYKEra_15_2019_korjattu_26_02_2020.pdf?sequence=4&amp;isAllowed=y" TargetMode="External"/><Relationship Id="rId6" Type="http://schemas.openxmlformats.org/officeDocument/2006/relationships/hyperlink" Target="https://helda.helsinki.fi/bitstream/handle/10138/300737/SYKEra_15_2019_korjattu_26_02_2020.pdf?sequence=4&amp;isAllowed=y" TargetMode="External"/><Relationship Id="rId11" Type="http://schemas.openxmlformats.org/officeDocument/2006/relationships/hyperlink" Target="https://helda.helsinki.fi/bitstream/handle/10138/300737/SYKEra_15_2019_korjattu_26_02_2020.pdf?sequence=4&amp;isAllowed=y" TargetMode="External"/><Relationship Id="rId5" Type="http://schemas.openxmlformats.org/officeDocument/2006/relationships/hyperlink" Target="https://helda.helsinki.fi/bitstream/handle/10138/300737/SYKEra_15_2019_korjattu_26_02_2020.pdf?sequence=4&amp;isAllowed=y" TargetMode="External"/><Relationship Id="rId10" Type="http://schemas.openxmlformats.org/officeDocument/2006/relationships/hyperlink" Target="https://helda.helsinki.fi/bitstream/handle/10138/300737/SYKEra_15_2019_korjattu_26_02_2020.pdf?sequence=4&amp;isAllowed=y" TargetMode="External"/><Relationship Id="rId4" Type="http://schemas.openxmlformats.org/officeDocument/2006/relationships/hyperlink" Target="https://helda.helsinki.fi/bitstream/handle/10138/300737/SYKEra_15_2019_korjattu_26_02_2020.pdf?sequence=4&amp;isAllowed=y" TargetMode="External"/><Relationship Id="rId9" Type="http://schemas.openxmlformats.org/officeDocument/2006/relationships/hyperlink" Target="https://helda.helsinki.fi/bitstream/handle/10138/300737/SYKEra_15_2019_korjattu_26_02_2020.pdf?sequence=4&amp;isAllowed=y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traficom.fi/sites/default/files/media/file/Faktakortti-HLT2016-tyomatkat.pdf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39997558519241921"/>
  </sheetPr>
  <dimension ref="B2:O239"/>
  <sheetViews>
    <sheetView tabSelected="1" zoomScale="40" zoomScaleNormal="40" workbookViewId="0">
      <selection activeCell="C4" sqref="C4:E6"/>
    </sheetView>
  </sheetViews>
  <sheetFormatPr defaultColWidth="8.7109375" defaultRowHeight="14.45"/>
  <cols>
    <col min="1" max="1" width="2.28515625" style="450" customWidth="1"/>
    <col min="2" max="2" width="4.28515625" style="450" customWidth="1"/>
    <col min="3" max="3" width="66.7109375" style="450" customWidth="1"/>
    <col min="4" max="4" width="38.7109375" style="451" customWidth="1"/>
    <col min="5" max="5" width="38.28515625" style="450" customWidth="1"/>
    <col min="6" max="6" width="22.5703125" style="450" customWidth="1"/>
    <col min="7" max="7" width="43" style="450" customWidth="1"/>
    <col min="8" max="8" width="43.42578125" style="450" customWidth="1"/>
    <col min="9" max="9" width="45.7109375" style="450" customWidth="1"/>
    <col min="10" max="10" width="34.28515625" style="450" customWidth="1"/>
    <col min="11" max="11" width="14.7109375" style="450" customWidth="1"/>
    <col min="12" max="12" width="45.7109375" style="450" customWidth="1"/>
    <col min="13" max="13" width="21" style="450" customWidth="1"/>
    <col min="14" max="14" width="25.28515625" style="450" customWidth="1"/>
    <col min="15" max="15" width="3.7109375" style="450" customWidth="1"/>
    <col min="16" max="16384" width="8.7109375" style="450"/>
  </cols>
  <sheetData>
    <row r="2" spans="2:15" thickBot="1"/>
    <row r="3" spans="2:15" thickBot="1">
      <c r="B3" s="452"/>
      <c r="C3" s="453"/>
      <c r="D3" s="454"/>
      <c r="E3" s="453"/>
      <c r="F3" s="453"/>
      <c r="G3" s="453"/>
      <c r="H3" s="453"/>
      <c r="I3" s="453"/>
      <c r="J3" s="453"/>
      <c r="K3" s="453"/>
      <c r="L3" s="453"/>
      <c r="M3" s="453"/>
      <c r="N3" s="453"/>
      <c r="O3" s="455"/>
    </row>
    <row r="4" spans="2:15" ht="91.15" customHeight="1">
      <c r="B4" s="456"/>
      <c r="C4" s="891" t="s">
        <v>0</v>
      </c>
      <c r="D4" s="805"/>
      <c r="E4" s="806"/>
      <c r="F4" s="457"/>
      <c r="G4" s="457"/>
      <c r="H4" s="457"/>
      <c r="I4" s="457"/>
      <c r="J4" s="457"/>
      <c r="K4" s="457"/>
      <c r="L4" s="452"/>
      <c r="M4" s="453"/>
      <c r="N4" s="455"/>
      <c r="O4" s="458"/>
    </row>
    <row r="5" spans="2:15" ht="15" customHeight="1">
      <c r="B5" s="456"/>
      <c r="C5" s="807"/>
      <c r="D5" s="808"/>
      <c r="E5" s="809"/>
      <c r="F5" s="457"/>
      <c r="G5" s="457"/>
      <c r="H5" s="457"/>
      <c r="I5" s="457"/>
      <c r="J5" s="457"/>
      <c r="K5" s="457"/>
      <c r="L5" s="456"/>
      <c r="M5" s="457"/>
      <c r="N5" s="458"/>
      <c r="O5" s="458"/>
    </row>
    <row r="6" spans="2:15" ht="99" customHeight="1" thickBot="1">
      <c r="B6" s="456"/>
      <c r="C6" s="810"/>
      <c r="D6" s="811"/>
      <c r="E6" s="812"/>
      <c r="F6" s="457"/>
      <c r="G6" s="457"/>
      <c r="H6" s="457"/>
      <c r="I6" s="457"/>
      <c r="J6" s="457"/>
      <c r="K6" s="457"/>
      <c r="L6" s="456"/>
      <c r="M6" s="457"/>
      <c r="N6" s="458"/>
      <c r="O6" s="458"/>
    </row>
    <row r="7" spans="2:15" ht="26.65" customHeight="1" thickBot="1">
      <c r="B7" s="456"/>
      <c r="C7" s="459"/>
      <c r="D7" s="459"/>
      <c r="E7" s="459"/>
      <c r="F7" s="457"/>
      <c r="G7" s="457"/>
      <c r="H7" s="457"/>
      <c r="I7" s="457"/>
      <c r="J7" s="457"/>
      <c r="K7" s="457"/>
      <c r="L7" s="801" t="s">
        <v>1</v>
      </c>
      <c r="M7" s="802"/>
      <c r="N7" s="803"/>
      <c r="O7" s="458"/>
    </row>
    <row r="8" spans="2:15" ht="53.65" customHeight="1">
      <c r="B8" s="456"/>
      <c r="C8" s="804" t="s">
        <v>2</v>
      </c>
      <c r="D8" s="805"/>
      <c r="E8" s="806"/>
      <c r="F8" s="457"/>
      <c r="G8" s="457"/>
      <c r="H8" s="457"/>
      <c r="I8" s="457"/>
      <c r="J8" s="457"/>
      <c r="K8" s="457"/>
      <c r="L8" s="457"/>
      <c r="M8" s="457"/>
      <c r="N8" s="457"/>
      <c r="O8" s="458"/>
    </row>
    <row r="9" spans="2:15" ht="189.6" customHeight="1">
      <c r="B9" s="456"/>
      <c r="C9" s="807"/>
      <c r="D9" s="808"/>
      <c r="E9" s="809"/>
      <c r="F9" s="457"/>
      <c r="G9" s="457"/>
      <c r="H9" s="457"/>
      <c r="I9" s="457"/>
      <c r="J9" s="457"/>
      <c r="K9" s="457"/>
      <c r="L9" s="452"/>
      <c r="M9" s="453"/>
      <c r="N9" s="455"/>
      <c r="O9" s="458"/>
    </row>
    <row r="10" spans="2:15" ht="26.65" customHeight="1" thickBot="1">
      <c r="B10" s="456"/>
      <c r="C10" s="810"/>
      <c r="D10" s="811"/>
      <c r="E10" s="812"/>
      <c r="F10" s="457"/>
      <c r="G10" s="457"/>
      <c r="H10" s="457"/>
      <c r="I10" s="457"/>
      <c r="J10" s="457"/>
      <c r="K10" s="457"/>
      <c r="L10" s="460"/>
      <c r="M10" s="461"/>
      <c r="N10" s="462"/>
      <c r="O10" s="458"/>
    </row>
    <row r="11" spans="2:15" ht="26.65" customHeight="1" thickBot="1">
      <c r="B11" s="456"/>
      <c r="C11" s="463"/>
      <c r="D11" s="463"/>
      <c r="E11" s="463"/>
      <c r="F11" s="457"/>
      <c r="G11" s="457"/>
      <c r="H11" s="457"/>
      <c r="I11" s="457"/>
      <c r="J11" s="457"/>
      <c r="K11" s="457"/>
      <c r="L11" s="778" t="s">
        <v>3</v>
      </c>
      <c r="M11" s="779"/>
      <c r="N11" s="780"/>
      <c r="O11" s="458"/>
    </row>
    <row r="12" spans="2:15" ht="26.65" customHeight="1" thickBot="1">
      <c r="B12" s="456"/>
      <c r="C12" s="464" t="s">
        <v>4</v>
      </c>
      <c r="D12" s="834"/>
      <c r="E12" s="835"/>
      <c r="F12" s="457"/>
      <c r="G12" s="457"/>
      <c r="H12" s="457"/>
      <c r="I12" s="457"/>
      <c r="J12" s="457"/>
      <c r="K12" s="457"/>
      <c r="L12" s="465"/>
      <c r="M12" s="465"/>
      <c r="N12" s="465"/>
      <c r="O12" s="458"/>
    </row>
    <row r="13" spans="2:15" ht="26.65" customHeight="1" thickBot="1">
      <c r="B13" s="456"/>
      <c r="C13" s="464" t="s">
        <v>5</v>
      </c>
      <c r="D13" s="836"/>
      <c r="E13" s="837"/>
      <c r="F13" s="457"/>
      <c r="G13" s="457"/>
      <c r="H13" s="457"/>
      <c r="I13" s="457"/>
      <c r="J13" s="457"/>
      <c r="K13" s="457"/>
      <c r="L13" s="465"/>
      <c r="M13" s="465"/>
      <c r="N13" s="465"/>
      <c r="O13" s="458"/>
    </row>
    <row r="14" spans="2:15" ht="26.65" customHeight="1" thickBot="1">
      <c r="B14" s="456"/>
      <c r="C14" s="464" t="s">
        <v>6</v>
      </c>
      <c r="D14" s="834"/>
      <c r="E14" s="835"/>
      <c r="F14" s="457"/>
      <c r="G14" s="457"/>
      <c r="H14" s="457"/>
      <c r="I14" s="457"/>
      <c r="J14" s="457"/>
      <c r="K14" s="457"/>
      <c r="L14" s="452"/>
      <c r="M14" s="453"/>
      <c r="N14" s="455"/>
      <c r="O14" s="458"/>
    </row>
    <row r="15" spans="2:15" ht="26.65" customHeight="1" thickBot="1">
      <c r="B15" s="456"/>
      <c r="C15" s="463"/>
      <c r="D15" s="463"/>
      <c r="E15" s="463"/>
      <c r="F15" s="457"/>
      <c r="G15" s="457"/>
      <c r="H15" s="457"/>
      <c r="I15" s="457"/>
      <c r="J15" s="457"/>
      <c r="K15" s="457"/>
      <c r="L15" s="456"/>
      <c r="M15" s="457"/>
      <c r="N15" s="458"/>
      <c r="O15" s="458"/>
    </row>
    <row r="16" spans="2:15" ht="26.45" thickBot="1">
      <c r="B16" s="456"/>
      <c r="C16" s="466" t="s">
        <v>7</v>
      </c>
      <c r="D16" s="825" t="s">
        <v>8</v>
      </c>
      <c r="E16" s="826"/>
      <c r="F16" s="457"/>
      <c r="G16" s="457"/>
      <c r="H16" s="457"/>
      <c r="I16" s="457"/>
      <c r="J16" s="457"/>
      <c r="K16" s="457"/>
      <c r="L16" s="456"/>
      <c r="M16" s="457"/>
      <c r="N16" s="458"/>
      <c r="O16" s="458"/>
    </row>
    <row r="17" spans="2:15" ht="25.5" customHeight="1">
      <c r="B17" s="456"/>
      <c r="C17" s="467" t="s">
        <v>9</v>
      </c>
      <c r="D17" s="819">
        <f>D188</f>
        <v>0</v>
      </c>
      <c r="E17" s="820"/>
      <c r="F17" s="457"/>
      <c r="G17" s="457"/>
      <c r="H17" s="457"/>
      <c r="I17" s="457"/>
      <c r="J17" s="457"/>
      <c r="K17" s="457"/>
      <c r="L17" s="456"/>
      <c r="M17" s="457"/>
      <c r="N17" s="458"/>
      <c r="O17" s="458"/>
    </row>
    <row r="18" spans="2:15" ht="25.15" customHeight="1">
      <c r="B18" s="456"/>
      <c r="C18" s="467" t="s">
        <v>10</v>
      </c>
      <c r="D18" s="819">
        <f>D191</f>
        <v>0</v>
      </c>
      <c r="E18" s="820"/>
      <c r="F18" s="457"/>
      <c r="G18" s="457"/>
      <c r="H18" s="457"/>
      <c r="I18" s="457"/>
      <c r="J18" s="457"/>
      <c r="K18" s="457"/>
      <c r="L18" s="456"/>
      <c r="M18" s="457"/>
      <c r="N18" s="458"/>
      <c r="O18" s="458"/>
    </row>
    <row r="19" spans="2:15" ht="25.9">
      <c r="B19" s="456"/>
      <c r="C19" s="467" t="s">
        <v>11</v>
      </c>
      <c r="D19" s="819">
        <f>D197</f>
        <v>0</v>
      </c>
      <c r="E19" s="820"/>
      <c r="F19" s="457"/>
      <c r="G19" s="457"/>
      <c r="H19" s="457"/>
      <c r="I19" s="457"/>
      <c r="J19" s="457"/>
      <c r="K19" s="457"/>
      <c r="L19" s="456"/>
      <c r="M19" s="457"/>
      <c r="N19" s="458"/>
      <c r="O19" s="458"/>
    </row>
    <row r="20" spans="2:15" ht="26.45" thickBot="1">
      <c r="B20" s="456"/>
      <c r="C20" s="467" t="s">
        <v>12</v>
      </c>
      <c r="D20" s="819">
        <f>D200</f>
        <v>0</v>
      </c>
      <c r="E20" s="820"/>
      <c r="F20" s="457"/>
      <c r="G20" s="457"/>
      <c r="H20" s="457"/>
      <c r="I20" s="457"/>
      <c r="J20" s="457"/>
      <c r="K20" s="457"/>
      <c r="L20" s="456"/>
      <c r="M20" s="457"/>
      <c r="N20" s="458"/>
      <c r="O20" s="458"/>
    </row>
    <row r="21" spans="2:15" ht="26.45" thickBot="1">
      <c r="B21" s="456"/>
      <c r="C21" s="467" t="s">
        <v>13</v>
      </c>
      <c r="D21" s="819">
        <f>D203</f>
        <v>0</v>
      </c>
      <c r="E21" s="820"/>
      <c r="F21" s="457"/>
      <c r="G21" s="457"/>
      <c r="H21" s="457"/>
      <c r="I21" s="457"/>
      <c r="J21" s="457"/>
      <c r="K21" s="457"/>
      <c r="L21" s="778" t="s">
        <v>14</v>
      </c>
      <c r="M21" s="779"/>
      <c r="N21" s="780"/>
      <c r="O21" s="458"/>
    </row>
    <row r="22" spans="2:15" ht="26.45" thickBot="1">
      <c r="B22" s="456"/>
      <c r="C22" s="468" t="s">
        <v>15</v>
      </c>
      <c r="D22" s="838">
        <f>D206</f>
        <v>0</v>
      </c>
      <c r="E22" s="839"/>
      <c r="F22" s="457"/>
      <c r="G22" s="457"/>
      <c r="H22" s="457"/>
      <c r="I22" s="457"/>
      <c r="J22" s="457"/>
      <c r="K22" s="457"/>
      <c r="L22" s="457"/>
      <c r="M22" s="457"/>
      <c r="N22" s="457"/>
      <c r="O22" s="458"/>
    </row>
    <row r="23" spans="2:15" ht="25.15" customHeight="1" thickTop="1">
      <c r="B23" s="456"/>
      <c r="C23" s="467" t="s">
        <v>16</v>
      </c>
      <c r="D23" s="817">
        <f>D194</f>
        <v>0</v>
      </c>
      <c r="E23" s="818"/>
      <c r="F23" s="457"/>
      <c r="G23" s="457"/>
      <c r="H23" s="457"/>
      <c r="I23" s="457"/>
      <c r="J23" s="457"/>
      <c r="K23" s="457"/>
      <c r="L23" s="457" t="s">
        <v>17</v>
      </c>
      <c r="M23" s="470"/>
      <c r="N23" s="470"/>
      <c r="O23" s="458"/>
    </row>
    <row r="24" spans="2:15" ht="25.5" customHeight="1">
      <c r="B24" s="456"/>
      <c r="C24" s="469" t="s">
        <v>18</v>
      </c>
      <c r="D24" s="827">
        <f>D172+D173</f>
        <v>0</v>
      </c>
      <c r="E24" s="828"/>
      <c r="F24" s="457"/>
      <c r="G24" s="457"/>
      <c r="H24" s="457"/>
      <c r="I24" s="457"/>
      <c r="J24" s="457"/>
      <c r="K24" s="457"/>
      <c r="L24" s="471" t="s">
        <v>19</v>
      </c>
      <c r="M24" s="457"/>
      <c r="N24" s="457"/>
      <c r="O24" s="458"/>
    </row>
    <row r="25" spans="2:15" ht="25.5" customHeight="1">
      <c r="B25" s="456"/>
      <c r="C25" s="467" t="s">
        <v>20</v>
      </c>
      <c r="D25" s="819">
        <f>D185</f>
        <v>0</v>
      </c>
      <c r="E25" s="820"/>
      <c r="F25" s="457"/>
      <c r="G25" s="457"/>
      <c r="H25" s="457"/>
      <c r="I25" s="457"/>
      <c r="J25" s="457"/>
      <c r="K25" s="457"/>
      <c r="L25" s="457"/>
      <c r="M25" s="457"/>
      <c r="N25" s="457"/>
      <c r="O25" s="458"/>
    </row>
    <row r="26" spans="2:15" ht="25.15" customHeight="1">
      <c r="B26" s="456"/>
      <c r="C26" s="467" t="s">
        <v>21</v>
      </c>
      <c r="D26" s="819">
        <f>D181</f>
        <v>0</v>
      </c>
      <c r="E26" s="820"/>
      <c r="F26" s="457"/>
      <c r="G26" s="457"/>
      <c r="H26" s="457"/>
      <c r="I26" s="457"/>
      <c r="J26" s="457"/>
      <c r="K26" s="457"/>
      <c r="L26" s="457"/>
      <c r="M26" s="457"/>
      <c r="N26" s="457"/>
      <c r="O26" s="458"/>
    </row>
    <row r="27" spans="2:15" ht="25.5" customHeight="1" thickBot="1">
      <c r="B27" s="456"/>
      <c r="C27" s="468" t="s">
        <v>22</v>
      </c>
      <c r="D27" s="819">
        <f>D177</f>
        <v>0</v>
      </c>
      <c r="E27" s="820"/>
      <c r="F27" s="457"/>
      <c r="G27" s="457"/>
      <c r="H27" s="457"/>
      <c r="I27" s="457"/>
      <c r="J27" s="457"/>
      <c r="K27" s="457"/>
      <c r="L27" s="457" t="s">
        <v>23</v>
      </c>
      <c r="M27" s="457"/>
      <c r="N27" s="457"/>
      <c r="O27" s="458"/>
    </row>
    <row r="28" spans="2:15" ht="27" thickTop="1" thickBot="1">
      <c r="B28" s="456"/>
      <c r="C28" s="472" t="s">
        <v>24</v>
      </c>
      <c r="D28" s="840">
        <f>SUM(D17:E27)</f>
        <v>0</v>
      </c>
      <c r="E28" s="841"/>
      <c r="F28" s="457"/>
      <c r="G28" s="457"/>
      <c r="H28" s="457"/>
      <c r="I28" s="457"/>
      <c r="J28" s="457"/>
      <c r="K28" s="457"/>
      <c r="L28" s="457"/>
      <c r="M28" s="457"/>
      <c r="N28" s="457"/>
      <c r="O28" s="458"/>
    </row>
    <row r="29" spans="2:15" ht="26.45" thickBot="1">
      <c r="B29" s="456"/>
      <c r="C29" s="777" t="s">
        <v>25</v>
      </c>
      <c r="D29" s="832">
        <f>IFERROR(D28/D14,0)</f>
        <v>0</v>
      </c>
      <c r="E29" s="833"/>
      <c r="F29" s="457"/>
      <c r="G29" s="457"/>
      <c r="H29" s="457"/>
      <c r="I29" s="457"/>
      <c r="J29" s="457"/>
      <c r="K29" s="457"/>
      <c r="L29" s="457"/>
      <c r="M29" s="457"/>
      <c r="N29" s="457"/>
      <c r="O29" s="458"/>
    </row>
    <row r="30" spans="2:15" ht="18" customHeight="1" thickBot="1">
      <c r="B30" s="456"/>
      <c r="C30" s="457"/>
      <c r="D30" s="473"/>
      <c r="E30" s="457"/>
      <c r="F30" s="457"/>
      <c r="G30" s="457"/>
      <c r="H30" s="457"/>
      <c r="I30" s="457"/>
      <c r="J30" s="457"/>
      <c r="K30" s="457"/>
      <c r="L30" s="457"/>
      <c r="M30" s="457"/>
      <c r="N30" s="457"/>
      <c r="O30" s="458"/>
    </row>
    <row r="31" spans="2:15" ht="26.45" thickBot="1">
      <c r="B31" s="456"/>
      <c r="C31" s="825" t="s">
        <v>26</v>
      </c>
      <c r="D31" s="845"/>
      <c r="E31" s="826"/>
      <c r="F31" s="457"/>
      <c r="H31" s="457"/>
      <c r="I31" s="457"/>
      <c r="J31" s="457"/>
      <c r="K31" s="457"/>
      <c r="L31" s="457"/>
      <c r="M31" s="457"/>
      <c r="N31" s="457"/>
      <c r="O31" s="458"/>
    </row>
    <row r="32" spans="2:15" ht="18.600000000000001" thickBot="1">
      <c r="B32" s="456"/>
      <c r="C32" s="474" t="s">
        <v>27</v>
      </c>
      <c r="D32" s="370">
        <v>4.4999999999999998E-2</v>
      </c>
      <c r="E32" s="474" t="s">
        <v>28</v>
      </c>
      <c r="F32" s="480"/>
      <c r="G32" s="783" t="s">
        <v>29</v>
      </c>
      <c r="H32" s="786"/>
      <c r="I32" s="787"/>
      <c r="J32" s="788"/>
      <c r="K32" s="457"/>
      <c r="L32" s="457"/>
      <c r="M32" s="457"/>
      <c r="N32" s="457"/>
      <c r="O32" s="458"/>
    </row>
    <row r="33" spans="2:15" ht="27" thickTop="1" thickBot="1">
      <c r="B33" s="456"/>
      <c r="C33" s="476" t="s">
        <v>27</v>
      </c>
      <c r="D33" s="815">
        <f>D28*D32</f>
        <v>0</v>
      </c>
      <c r="E33" s="816"/>
      <c r="F33" s="457"/>
      <c r="G33" s="784"/>
      <c r="H33" s="789"/>
      <c r="I33" s="790"/>
      <c r="J33" s="791"/>
      <c r="K33" s="457"/>
      <c r="L33" s="457"/>
      <c r="M33" s="457"/>
      <c r="N33" s="457"/>
      <c r="O33" s="458"/>
    </row>
    <row r="34" spans="2:15" ht="26.45" thickBot="1">
      <c r="B34" s="456"/>
      <c r="C34" s="776" t="s">
        <v>30</v>
      </c>
      <c r="D34" s="781">
        <f>IFERROR(D33/D14,0)</f>
        <v>0</v>
      </c>
      <c r="E34" s="782"/>
      <c r="F34" s="457"/>
      <c r="G34" s="785"/>
      <c r="H34" s="792"/>
      <c r="I34" s="793"/>
      <c r="J34" s="794"/>
      <c r="K34" s="457"/>
      <c r="L34" s="457"/>
      <c r="M34" s="457"/>
      <c r="N34" s="457"/>
      <c r="O34" s="458"/>
    </row>
    <row r="35" spans="2:15" ht="18" customHeight="1" thickBot="1">
      <c r="B35" s="460"/>
      <c r="C35" s="461"/>
      <c r="D35" s="477"/>
      <c r="E35" s="461"/>
      <c r="F35" s="461"/>
      <c r="G35" s="461"/>
      <c r="H35" s="461"/>
      <c r="I35" s="461"/>
      <c r="J35" s="461"/>
      <c r="K35" s="461"/>
      <c r="L35" s="461"/>
      <c r="M35" s="461"/>
      <c r="N35" s="461"/>
      <c r="O35" s="462"/>
    </row>
    <row r="36" spans="2:15" ht="18" customHeight="1" thickBot="1">
      <c r="B36" s="456"/>
      <c r="C36" s="457"/>
      <c r="D36" s="473"/>
      <c r="E36" s="457"/>
      <c r="F36" s="478"/>
      <c r="G36" s="457"/>
      <c r="H36" s="457"/>
      <c r="I36" s="457"/>
      <c r="J36" s="457"/>
      <c r="K36" s="457"/>
      <c r="L36" s="457"/>
      <c r="M36" s="457"/>
      <c r="N36" s="457"/>
      <c r="O36" s="458"/>
    </row>
    <row r="37" spans="2:15" ht="24" thickBot="1">
      <c r="B37" s="456"/>
      <c r="C37" s="798" t="s">
        <v>31</v>
      </c>
      <c r="D37" s="799"/>
      <c r="E37" s="800"/>
      <c r="F37" s="479"/>
      <c r="G37" s="480"/>
      <c r="H37" s="457"/>
      <c r="I37" s="457"/>
      <c r="J37" s="457"/>
      <c r="K37" s="457"/>
      <c r="L37" s="457"/>
      <c r="M37" s="457"/>
      <c r="N37" s="457"/>
      <c r="O37" s="458"/>
    </row>
    <row r="38" spans="2:15" ht="18">
      <c r="B38" s="456"/>
      <c r="C38" s="481" t="s">
        <v>32</v>
      </c>
      <c r="D38" s="339"/>
      <c r="E38" s="481" t="s">
        <v>33</v>
      </c>
      <c r="F38" s="482"/>
      <c r="G38" s="480"/>
      <c r="H38" s="457"/>
      <c r="I38" s="457"/>
      <c r="J38" s="457"/>
      <c r="K38" s="457"/>
      <c r="L38" s="457"/>
      <c r="M38" s="457"/>
      <c r="N38" s="457"/>
      <c r="O38" s="458"/>
    </row>
    <row r="39" spans="2:15" ht="18">
      <c r="B39" s="456"/>
      <c r="C39" s="481" t="s">
        <v>34</v>
      </c>
      <c r="D39" s="339"/>
      <c r="E39" s="481" t="s">
        <v>35</v>
      </c>
      <c r="F39" s="480"/>
      <c r="G39" s="480"/>
      <c r="H39" s="457"/>
      <c r="I39" s="457"/>
      <c r="J39" s="457"/>
      <c r="K39" s="457"/>
      <c r="L39" s="457"/>
      <c r="M39" s="457"/>
      <c r="N39" s="457"/>
      <c r="O39" s="458"/>
    </row>
    <row r="40" spans="2:15" ht="18">
      <c r="B40" s="456"/>
      <c r="C40" s="481" t="s">
        <v>36</v>
      </c>
      <c r="D40" s="373"/>
      <c r="E40" s="481" t="s">
        <v>37</v>
      </c>
      <c r="F40" s="480"/>
      <c r="G40" s="480"/>
      <c r="H40" s="457"/>
      <c r="I40" s="457"/>
      <c r="J40" s="457"/>
      <c r="K40" s="457"/>
      <c r="L40" s="457"/>
      <c r="M40" s="457"/>
      <c r="N40" s="457"/>
      <c r="O40" s="458"/>
    </row>
    <row r="41" spans="2:15" ht="18">
      <c r="B41" s="456"/>
      <c r="C41" s="481" t="s">
        <v>38</v>
      </c>
      <c r="D41" s="340"/>
      <c r="E41" s="481" t="s">
        <v>37</v>
      </c>
      <c r="F41" s="480"/>
      <c r="G41" s="480"/>
      <c r="H41" s="457"/>
      <c r="I41" s="457"/>
      <c r="J41" s="457"/>
      <c r="K41" s="457"/>
      <c r="L41" s="457"/>
      <c r="M41" s="457"/>
      <c r="N41" s="457"/>
      <c r="O41" s="458"/>
    </row>
    <row r="42" spans="2:15" ht="18">
      <c r="B42" s="456"/>
      <c r="C42" s="481" t="s">
        <v>39</v>
      </c>
      <c r="D42" s="340"/>
      <c r="E42" s="481" t="s">
        <v>37</v>
      </c>
      <c r="F42" s="480"/>
      <c r="G42" s="480"/>
      <c r="H42" s="457"/>
      <c r="I42" s="457"/>
      <c r="J42" s="457"/>
      <c r="K42" s="457"/>
      <c r="L42" s="457"/>
      <c r="M42" s="457"/>
      <c r="N42" s="457"/>
      <c r="O42" s="458"/>
    </row>
    <row r="43" spans="2:15" ht="18.600000000000001" thickBot="1">
      <c r="B43" s="456"/>
      <c r="C43" s="483" t="s">
        <v>40</v>
      </c>
      <c r="D43" s="376"/>
      <c r="E43" s="483" t="s">
        <v>37</v>
      </c>
      <c r="F43" s="480"/>
      <c r="G43" s="480"/>
      <c r="H43" s="457"/>
      <c r="I43" s="457"/>
      <c r="J43" s="457"/>
      <c r="K43" s="457"/>
      <c r="L43" s="457"/>
      <c r="M43" s="457"/>
      <c r="N43" s="457"/>
      <c r="O43" s="458"/>
    </row>
    <row r="44" spans="2:15" ht="18" customHeight="1" thickBot="1">
      <c r="B44" s="456"/>
      <c r="C44" s="484"/>
      <c r="D44" s="485"/>
      <c r="E44" s="484"/>
      <c r="F44" s="457"/>
      <c r="G44" s="457"/>
      <c r="H44" s="457"/>
      <c r="I44" s="457"/>
      <c r="J44" s="457"/>
      <c r="K44" s="457"/>
      <c r="L44" s="457"/>
      <c r="M44" s="457"/>
      <c r="N44" s="457"/>
      <c r="O44" s="458"/>
    </row>
    <row r="45" spans="2:15" ht="24" thickBot="1">
      <c r="B45" s="456"/>
      <c r="C45" s="829" t="s">
        <v>41</v>
      </c>
      <c r="D45" s="830"/>
      <c r="E45" s="831"/>
      <c r="F45" s="457"/>
      <c r="G45" s="457"/>
      <c r="H45" s="457"/>
      <c r="I45" s="457"/>
      <c r="J45" s="457"/>
      <c r="K45" s="457"/>
      <c r="L45" s="457"/>
      <c r="M45" s="457"/>
      <c r="N45" s="457"/>
      <c r="O45" s="458"/>
    </row>
    <row r="46" spans="2:15" ht="18.600000000000001" thickBot="1">
      <c r="B46" s="456"/>
      <c r="C46" s="486" t="s">
        <v>42</v>
      </c>
      <c r="D46" s="337" t="s">
        <v>43</v>
      </c>
      <c r="E46" s="487"/>
      <c r="F46" s="457"/>
      <c r="G46" s="457"/>
      <c r="H46" s="457"/>
      <c r="I46" s="457"/>
      <c r="J46" s="457"/>
      <c r="K46" s="457"/>
      <c r="L46" s="457"/>
      <c r="M46" s="457"/>
      <c r="N46" s="457"/>
      <c r="O46" s="458"/>
    </row>
    <row r="47" spans="2:15" ht="18" customHeight="1" thickBot="1">
      <c r="B47" s="456"/>
      <c r="C47" s="457"/>
      <c r="E47" s="457"/>
      <c r="F47" s="461"/>
      <c r="G47" s="457"/>
      <c r="H47" s="457"/>
      <c r="I47" s="457"/>
      <c r="J47" s="457"/>
      <c r="K47" s="457"/>
      <c r="L47" s="457"/>
      <c r="M47" s="457"/>
      <c r="N47" s="457"/>
      <c r="O47" s="458"/>
    </row>
    <row r="48" spans="2:15" ht="24" thickBot="1">
      <c r="B48" s="456"/>
      <c r="C48" s="798" t="s">
        <v>44</v>
      </c>
      <c r="D48" s="799"/>
      <c r="E48" s="799"/>
      <c r="F48" s="488"/>
      <c r="G48" s="489"/>
      <c r="H48" s="457"/>
      <c r="I48" s="457"/>
      <c r="J48" s="457"/>
      <c r="K48" s="457"/>
      <c r="L48" s="457"/>
      <c r="M48" s="457"/>
      <c r="N48" s="457"/>
      <c r="O48" s="458"/>
    </row>
    <row r="49" spans="2:15" ht="18.600000000000001" customHeight="1" thickBot="1">
      <c r="B49" s="456"/>
      <c r="C49" s="490"/>
      <c r="D49" s="491" t="s">
        <v>45</v>
      </c>
      <c r="E49" s="491" t="s">
        <v>46</v>
      </c>
      <c r="F49" s="492"/>
      <c r="G49" s="493"/>
      <c r="H49" s="480"/>
      <c r="I49" s="457"/>
      <c r="J49" s="457"/>
      <c r="K49" s="457"/>
      <c r="L49" s="457"/>
      <c r="M49" s="457"/>
      <c r="N49" s="457"/>
      <c r="O49" s="458"/>
    </row>
    <row r="50" spans="2:15" ht="18">
      <c r="B50" s="456"/>
      <c r="C50" s="494" t="str">
        <f>Tausta_Hankinnat!A16</f>
        <v>Partiohuivit, vaatteet ja vaatekankaat</v>
      </c>
      <c r="D50" s="371"/>
      <c r="E50" s="371"/>
      <c r="F50" s="495" t="s">
        <v>47</v>
      </c>
      <c r="G50" s="482"/>
      <c r="H50" s="480"/>
      <c r="I50" s="457"/>
      <c r="J50" s="457"/>
      <c r="K50" s="457"/>
      <c r="L50" s="457"/>
      <c r="M50" s="457"/>
      <c r="N50" s="457"/>
      <c r="O50" s="458"/>
    </row>
    <row r="51" spans="2:15" ht="18">
      <c r="B51" s="456"/>
      <c r="C51" s="494" t="str">
        <f>Tausta_Hankinnat!A17</f>
        <v>Partiomerkit ja ansiomerkit</v>
      </c>
      <c r="D51" s="371"/>
      <c r="E51" s="371"/>
      <c r="F51" s="495" t="s">
        <v>47</v>
      </c>
      <c r="G51" s="480"/>
      <c r="H51" s="457"/>
      <c r="I51" s="457"/>
      <c r="J51" s="457"/>
      <c r="K51" s="457"/>
      <c r="L51" s="457"/>
      <c r="M51" s="457"/>
      <c r="N51" s="457"/>
      <c r="O51" s="458"/>
    </row>
    <row r="52" spans="2:15" ht="18">
      <c r="B52" s="456"/>
      <c r="C52" s="494" t="str">
        <f>Tausta_Hankinnat!A18</f>
        <v>Teltat ja muut retkeilyvälineet</v>
      </c>
      <c r="D52" s="371"/>
      <c r="E52" s="371"/>
      <c r="F52" s="495" t="s">
        <v>47</v>
      </c>
      <c r="G52" s="480"/>
      <c r="H52" s="457"/>
      <c r="I52" s="457"/>
      <c r="J52" s="457"/>
      <c r="K52" s="457"/>
      <c r="L52" s="457"/>
      <c r="M52" s="457"/>
      <c r="N52" s="457"/>
      <c r="O52" s="458"/>
    </row>
    <row r="53" spans="2:15" ht="18">
      <c r="B53" s="456"/>
      <c r="C53" s="494" t="str">
        <f>Tausta_Hankinnat!A19</f>
        <v>Askartelu- ja toimistotarvikkeet</v>
      </c>
      <c r="D53" s="371"/>
      <c r="E53" s="371"/>
      <c r="F53" s="495" t="s">
        <v>47</v>
      </c>
      <c r="G53" s="480"/>
      <c r="H53" s="457"/>
      <c r="I53" s="457"/>
      <c r="J53" s="457"/>
      <c r="K53" s="457"/>
      <c r="L53" s="457"/>
      <c r="M53" s="457"/>
      <c r="N53" s="457"/>
      <c r="O53" s="458"/>
    </row>
    <row r="54" spans="2:15" ht="18">
      <c r="B54" s="456"/>
      <c r="C54" s="494" t="str">
        <f>Tausta_Hankinnat!A20</f>
        <v>Kirjat, lehdet ja esitteet</v>
      </c>
      <c r="D54" s="371"/>
      <c r="E54" s="371"/>
      <c r="F54" s="495" t="s">
        <v>47</v>
      </c>
      <c r="G54" s="480"/>
      <c r="H54" s="457"/>
      <c r="I54" s="457"/>
      <c r="J54" s="457"/>
      <c r="K54" s="457"/>
      <c r="L54" s="457"/>
      <c r="M54" s="457"/>
      <c r="N54" s="457"/>
      <c r="O54" s="458"/>
    </row>
    <row r="55" spans="2:15" ht="18">
      <c r="B55" s="456"/>
      <c r="C55" s="494" t="str">
        <f>Tausta_Hankinnat!A21</f>
        <v>Lasitavarat, astiat ja keittiötyövälineet</v>
      </c>
      <c r="D55" s="371"/>
      <c r="E55" s="371"/>
      <c r="F55" s="495" t="s">
        <v>47</v>
      </c>
      <c r="G55" s="480"/>
      <c r="H55" s="457"/>
      <c r="I55" s="457"/>
      <c r="J55" s="457"/>
      <c r="K55" s="457"/>
      <c r="L55" s="457"/>
      <c r="M55" s="457"/>
      <c r="N55" s="457"/>
      <c r="O55" s="458"/>
    </row>
    <row r="56" spans="2:15" ht="18">
      <c r="B56" s="456"/>
      <c r="C56" s="494" t="str">
        <f>Tausta_Hankinnat!A22</f>
        <v>Kodinkoneet ja työkalut</v>
      </c>
      <c r="D56" s="371"/>
      <c r="E56" s="371"/>
      <c r="F56" s="495" t="s">
        <v>47</v>
      </c>
      <c r="G56" s="480"/>
      <c r="H56" s="457"/>
      <c r="I56" s="457"/>
      <c r="J56" s="457"/>
      <c r="K56" s="457"/>
      <c r="L56" s="457"/>
      <c r="M56" s="457"/>
      <c r="N56" s="457"/>
      <c r="O56" s="458"/>
    </row>
    <row r="57" spans="2:15" ht="18">
      <c r="B57" s="456"/>
      <c r="C57" s="494" t="str">
        <f>Tausta_Hankinnat!A23</f>
        <v>Kalusteet</v>
      </c>
      <c r="D57" s="371"/>
      <c r="E57" s="371"/>
      <c r="F57" s="495" t="s">
        <v>47</v>
      </c>
      <c r="G57" s="480"/>
      <c r="H57" s="457"/>
      <c r="I57" s="457"/>
      <c r="J57" s="457"/>
      <c r="K57" s="457"/>
      <c r="L57" s="457"/>
      <c r="M57" s="457"/>
      <c r="N57" s="457"/>
      <c r="O57" s="458"/>
    </row>
    <row r="58" spans="2:15" ht="18">
      <c r="B58" s="456"/>
      <c r="C58" s="494" t="str">
        <f>Tausta_Hankinnat!A24</f>
        <v>Puu- ja rautakauppatavara</v>
      </c>
      <c r="D58" s="371"/>
      <c r="E58" s="371"/>
      <c r="F58" s="495" t="s">
        <v>47</v>
      </c>
      <c r="G58" s="480"/>
      <c r="H58" s="457"/>
      <c r="I58" s="457"/>
      <c r="J58" s="457"/>
      <c r="K58" s="457"/>
      <c r="L58" s="457"/>
      <c r="M58" s="457"/>
      <c r="N58" s="457"/>
      <c r="O58" s="458"/>
    </row>
    <row r="59" spans="2:15" ht="18">
      <c r="B59" s="456"/>
      <c r="C59" s="494" t="str">
        <f>Tausta_Hankinnat!A25</f>
        <v>Ensiaputarvikkeet</v>
      </c>
      <c r="D59" s="371"/>
      <c r="E59" s="371"/>
      <c r="F59" s="495" t="s">
        <v>47</v>
      </c>
      <c r="G59" s="480"/>
      <c r="H59" s="457"/>
      <c r="I59" s="457"/>
      <c r="J59" s="457"/>
      <c r="K59" s="457"/>
      <c r="L59" s="457"/>
      <c r="M59" s="457"/>
      <c r="N59" s="457"/>
      <c r="O59" s="458"/>
    </row>
    <row r="60" spans="2:15" ht="18">
      <c r="B60" s="456"/>
      <c r="C60" s="494" t="str">
        <f>Tausta_Hankinnat!A27</f>
        <v>Audiovisuaaliset laitteet ja tietokoneet</v>
      </c>
      <c r="D60" s="371"/>
      <c r="E60" s="371"/>
      <c r="F60" s="495" t="s">
        <v>47</v>
      </c>
      <c r="G60" s="480"/>
      <c r="H60" s="457"/>
      <c r="I60" s="457"/>
      <c r="J60" s="457"/>
      <c r="K60" s="457"/>
      <c r="L60" s="457"/>
      <c r="M60" s="457"/>
      <c r="N60" s="457"/>
      <c r="O60" s="458"/>
    </row>
    <row r="61" spans="2:15" ht="18">
      <c r="B61" s="456"/>
      <c r="C61" s="494" t="str">
        <f>Tausta_Hankinnat!A28</f>
        <v>Palvelut (esim. kirjanpito, kunnostustyöt)</v>
      </c>
      <c r="D61" s="371"/>
      <c r="E61" s="371"/>
      <c r="F61" s="495" t="s">
        <v>47</v>
      </c>
      <c r="G61" s="480"/>
      <c r="H61" s="457"/>
      <c r="I61" s="457"/>
      <c r="J61" s="457"/>
      <c r="K61" s="457"/>
      <c r="L61" s="457"/>
      <c r="M61" s="457"/>
      <c r="N61" s="457"/>
      <c r="O61" s="458"/>
    </row>
    <row r="62" spans="2:15" ht="18.600000000000001" thickBot="1">
      <c r="B62" s="456"/>
      <c r="C62" s="496" t="s">
        <v>48</v>
      </c>
      <c r="D62" s="369"/>
      <c r="E62" s="369"/>
      <c r="F62" s="497" t="s">
        <v>47</v>
      </c>
      <c r="G62" s="482"/>
      <c r="H62" s="457"/>
      <c r="I62" s="457"/>
      <c r="J62" s="457"/>
      <c r="K62" s="457"/>
      <c r="L62" s="457"/>
      <c r="M62" s="457"/>
      <c r="N62" s="457"/>
      <c r="O62" s="458"/>
    </row>
    <row r="63" spans="2:15" ht="18.600000000000001" thickBot="1">
      <c r="B63" s="456"/>
      <c r="C63" s="498" t="s">
        <v>24</v>
      </c>
      <c r="D63" s="499">
        <f>SUM(D50:D62)</f>
        <v>0</v>
      </c>
      <c r="E63" s="499">
        <f>SUM(E50:E62)</f>
        <v>0</v>
      </c>
      <c r="F63" s="498" t="s">
        <v>47</v>
      </c>
      <c r="G63" s="480"/>
      <c r="H63" s="457"/>
      <c r="I63" s="457"/>
      <c r="J63" s="457"/>
      <c r="K63" s="457"/>
      <c r="L63" s="457"/>
      <c r="M63" s="457"/>
      <c r="N63" s="457"/>
      <c r="O63" s="458"/>
    </row>
    <row r="64" spans="2:15" ht="18" customHeight="1" thickBot="1">
      <c r="B64" s="456"/>
      <c r="C64" s="457"/>
      <c r="E64" s="457"/>
      <c r="F64" s="453"/>
      <c r="G64" s="457"/>
      <c r="H64" s="457"/>
      <c r="I64" s="457"/>
      <c r="J64" s="457"/>
      <c r="K64" s="457"/>
      <c r="L64" s="457"/>
      <c r="M64" s="457"/>
      <c r="N64" s="457"/>
      <c r="O64" s="458"/>
    </row>
    <row r="65" spans="2:15" ht="24" thickBot="1">
      <c r="B65" s="456"/>
      <c r="C65" s="798" t="s">
        <v>49</v>
      </c>
      <c r="D65" s="799"/>
      <c r="E65" s="800"/>
      <c r="F65" s="479"/>
      <c r="H65" s="457"/>
      <c r="I65" s="457"/>
      <c r="J65" s="457"/>
      <c r="K65" s="457"/>
      <c r="L65" s="457"/>
      <c r="M65" s="457"/>
      <c r="N65" s="457"/>
      <c r="O65" s="458"/>
    </row>
    <row r="66" spans="2:15" ht="18">
      <c r="B66" s="456"/>
      <c r="C66" s="500" t="str">
        <f>Tausta_Hankinnat!A31</f>
        <v xml:space="preserve">Polttopuu </v>
      </c>
      <c r="D66" s="342"/>
      <c r="E66" s="495" t="s">
        <v>50</v>
      </c>
      <c r="F66" s="480"/>
      <c r="G66" s="480"/>
      <c r="H66" s="480"/>
      <c r="I66" s="457"/>
      <c r="J66" s="457"/>
      <c r="K66" s="457"/>
      <c r="L66" s="457"/>
      <c r="M66" s="457"/>
      <c r="N66" s="457"/>
      <c r="O66" s="458"/>
    </row>
    <row r="67" spans="2:15" ht="18">
      <c r="B67" s="456"/>
      <c r="C67" s="494" t="str">
        <f>Tausta_Hankinnat!A32</f>
        <v xml:space="preserve">Nestekaasu </v>
      </c>
      <c r="D67" s="343"/>
      <c r="E67" s="495" t="s">
        <v>50</v>
      </c>
      <c r="F67" s="480"/>
      <c r="G67" s="480"/>
      <c r="H67" s="480"/>
      <c r="I67" s="457"/>
      <c r="J67" s="457"/>
      <c r="K67" s="457"/>
      <c r="L67" s="457"/>
      <c r="M67" s="457"/>
      <c r="N67" s="457"/>
      <c r="O67" s="458"/>
    </row>
    <row r="68" spans="2:15" ht="18">
      <c r="B68" s="456"/>
      <c r="C68" s="494" t="str">
        <f>Tausta_Hankinnat!A33</f>
        <v xml:space="preserve">Diesel </v>
      </c>
      <c r="D68" s="343"/>
      <c r="E68" s="495" t="s">
        <v>51</v>
      </c>
      <c r="F68" s="480"/>
      <c r="G68" s="480"/>
      <c r="H68" s="480"/>
      <c r="I68" s="457"/>
      <c r="J68" s="457"/>
      <c r="K68" s="457"/>
      <c r="L68" s="457"/>
      <c r="M68" s="457"/>
      <c r="N68" s="457"/>
      <c r="O68" s="458"/>
    </row>
    <row r="69" spans="2:15" ht="18.600000000000001" thickBot="1">
      <c r="B69" s="456"/>
      <c r="C69" s="496" t="str">
        <f>Tausta_Hankinnat!A34</f>
        <v xml:space="preserve">Polttoöljy, valopetroli ym. </v>
      </c>
      <c r="D69" s="367"/>
      <c r="E69" s="497" t="s">
        <v>51</v>
      </c>
      <c r="F69" s="475"/>
      <c r="G69" s="480"/>
      <c r="H69" s="480"/>
      <c r="I69" s="457"/>
      <c r="J69" s="457"/>
      <c r="K69" s="457"/>
      <c r="L69" s="457"/>
      <c r="M69" s="457"/>
      <c r="N69" s="457"/>
      <c r="O69" s="458"/>
    </row>
    <row r="70" spans="2:15" ht="18" customHeight="1" thickBot="1">
      <c r="B70" s="456"/>
      <c r="C70" s="457"/>
      <c r="E70" s="457"/>
      <c r="F70" s="457"/>
      <c r="G70" s="457"/>
      <c r="H70" s="457"/>
      <c r="I70" s="457"/>
      <c r="J70" s="457"/>
      <c r="K70" s="457"/>
      <c r="L70" s="457"/>
      <c r="M70" s="457"/>
      <c r="N70" s="457"/>
      <c r="O70" s="458"/>
    </row>
    <row r="71" spans="2:15" ht="24" thickBot="1">
      <c r="B71" s="456"/>
      <c r="C71" s="829" t="s">
        <v>52</v>
      </c>
      <c r="D71" s="830"/>
      <c r="E71" s="831"/>
      <c r="F71" s="479"/>
      <c r="H71" s="457"/>
      <c r="I71" s="457"/>
      <c r="J71" s="457"/>
      <c r="K71" s="457"/>
      <c r="L71" s="457"/>
      <c r="M71" s="457"/>
      <c r="N71" s="457"/>
      <c r="O71" s="458"/>
    </row>
    <row r="72" spans="2:15" ht="18" customHeight="1" thickBot="1">
      <c r="B72" s="456"/>
      <c r="C72" s="821" t="s">
        <v>53</v>
      </c>
      <c r="D72" s="822"/>
      <c r="E72" s="823"/>
      <c r="F72" s="479"/>
      <c r="G72" s="457"/>
      <c r="H72" s="457"/>
      <c r="I72" s="457"/>
      <c r="J72" s="457"/>
      <c r="K72" s="457"/>
      <c r="L72" s="457"/>
      <c r="M72" s="457"/>
      <c r="N72" s="457"/>
      <c r="O72" s="458"/>
    </row>
    <row r="73" spans="2:15" ht="18.600000000000001" thickBot="1">
      <c r="B73" s="456"/>
      <c r="C73" s="501" t="s">
        <v>54</v>
      </c>
      <c r="D73" s="502" t="s">
        <v>55</v>
      </c>
      <c r="E73" s="490"/>
      <c r="F73" s="482"/>
      <c r="G73" s="480"/>
      <c r="H73" s="457"/>
      <c r="I73" s="457"/>
      <c r="J73" s="457"/>
      <c r="K73" s="457"/>
      <c r="L73" s="457"/>
      <c r="M73" s="457"/>
      <c r="N73" s="457"/>
      <c r="O73" s="458"/>
    </row>
    <row r="74" spans="2:15" ht="18">
      <c r="B74" s="456"/>
      <c r="C74" s="765"/>
      <c r="D74" s="362"/>
      <c r="E74" s="500" t="s">
        <v>56</v>
      </c>
      <c r="F74" s="480"/>
      <c r="G74" s="480"/>
      <c r="H74" s="457"/>
      <c r="I74" s="457"/>
      <c r="J74" s="457"/>
      <c r="K74" s="457"/>
      <c r="L74" s="457"/>
      <c r="M74" s="457"/>
      <c r="N74" s="457"/>
      <c r="O74" s="458"/>
    </row>
    <row r="75" spans="2:15" ht="18">
      <c r="B75" s="456"/>
      <c r="C75" s="766"/>
      <c r="D75" s="343"/>
      <c r="E75" s="494" t="s">
        <v>56</v>
      </c>
      <c r="F75" s="480"/>
      <c r="G75" s="480"/>
      <c r="H75" s="457"/>
      <c r="I75" s="457"/>
      <c r="J75" s="457"/>
      <c r="K75" s="457"/>
      <c r="L75" s="457"/>
      <c r="M75" s="457"/>
      <c r="N75" s="457"/>
      <c r="O75" s="458"/>
    </row>
    <row r="76" spans="2:15" ht="18">
      <c r="B76" s="456"/>
      <c r="C76" s="766"/>
      <c r="D76" s="362"/>
      <c r="E76" s="494" t="s">
        <v>56</v>
      </c>
      <c r="F76" s="480"/>
      <c r="G76" s="480"/>
      <c r="H76" s="480"/>
      <c r="I76" s="457"/>
      <c r="J76" s="457"/>
      <c r="K76" s="457"/>
      <c r="L76" s="457"/>
      <c r="M76" s="457"/>
      <c r="N76" s="457"/>
      <c r="O76" s="458"/>
    </row>
    <row r="77" spans="2:15" ht="18">
      <c r="B77" s="456"/>
      <c r="C77" s="766"/>
      <c r="D77" s="343"/>
      <c r="E77" s="494" t="s">
        <v>56</v>
      </c>
      <c r="F77" s="480"/>
      <c r="G77" s="480"/>
      <c r="H77" s="480"/>
      <c r="I77" s="457"/>
      <c r="J77" s="457"/>
      <c r="K77" s="457"/>
      <c r="L77" s="457"/>
      <c r="M77" s="457"/>
      <c r="N77" s="457"/>
      <c r="O77" s="458"/>
    </row>
    <row r="78" spans="2:15" ht="18">
      <c r="B78" s="456"/>
      <c r="C78" s="766"/>
      <c r="D78" s="372"/>
      <c r="E78" s="494" t="s">
        <v>56</v>
      </c>
      <c r="F78" s="480"/>
      <c r="G78" s="480"/>
      <c r="H78" s="480"/>
      <c r="I78" s="457"/>
      <c r="J78" s="457"/>
      <c r="K78" s="457"/>
      <c r="L78" s="457"/>
      <c r="M78" s="457"/>
      <c r="N78" s="457"/>
      <c r="O78" s="458"/>
    </row>
    <row r="79" spans="2:15" ht="18.600000000000001" thickBot="1">
      <c r="B79" s="456"/>
      <c r="C79" s="767"/>
      <c r="D79" s="367"/>
      <c r="E79" s="496" t="s">
        <v>56</v>
      </c>
      <c r="F79" s="480"/>
      <c r="G79" s="480"/>
      <c r="H79" s="457"/>
      <c r="I79" s="457"/>
      <c r="J79" s="457"/>
      <c r="K79" s="457"/>
      <c r="L79" s="457"/>
      <c r="M79" s="457"/>
      <c r="N79" s="457"/>
      <c r="O79" s="458"/>
    </row>
    <row r="80" spans="2:15" ht="18.600000000000001" thickBot="1">
      <c r="B80" s="456"/>
      <c r="C80" s="503"/>
      <c r="D80" s="504"/>
      <c r="E80" s="475"/>
      <c r="F80" s="480"/>
      <c r="G80" s="480"/>
      <c r="H80" s="457"/>
      <c r="I80" s="457"/>
      <c r="J80" s="457"/>
      <c r="K80" s="457"/>
      <c r="L80" s="457"/>
      <c r="M80" s="457"/>
      <c r="N80" s="457"/>
      <c r="O80" s="458"/>
    </row>
    <row r="81" spans="2:15" ht="24" thickBot="1">
      <c r="B81" s="456"/>
      <c r="C81" s="798" t="s">
        <v>57</v>
      </c>
      <c r="D81" s="799"/>
      <c r="E81" s="800"/>
      <c r="F81" s="479"/>
      <c r="G81" s="480"/>
      <c r="H81" s="457"/>
      <c r="I81" s="457"/>
      <c r="J81" s="457"/>
      <c r="K81" s="457"/>
      <c r="L81" s="457"/>
      <c r="M81" s="457"/>
      <c r="N81" s="457"/>
      <c r="O81" s="458"/>
    </row>
    <row r="82" spans="2:15" ht="18">
      <c r="B82" s="456"/>
      <c r="C82" s="494" t="s">
        <v>58</v>
      </c>
      <c r="D82" s="338"/>
      <c r="E82" s="500" t="s">
        <v>33</v>
      </c>
      <c r="F82" s="482"/>
      <c r="G82" s="480"/>
      <c r="H82" s="457"/>
      <c r="I82" s="457"/>
      <c r="J82" s="457"/>
      <c r="K82" s="457"/>
      <c r="L82" s="457"/>
      <c r="M82" s="457"/>
      <c r="N82" s="457"/>
      <c r="O82" s="458"/>
    </row>
    <row r="83" spans="2:15" ht="18">
      <c r="B83" s="456"/>
      <c r="C83" s="494" t="s">
        <v>59</v>
      </c>
      <c r="D83" s="373"/>
      <c r="E83" s="494" t="s">
        <v>37</v>
      </c>
      <c r="F83" s="480"/>
      <c r="G83" s="505"/>
      <c r="H83" s="457"/>
      <c r="I83" s="457"/>
      <c r="J83" s="457"/>
      <c r="K83" s="457"/>
      <c r="L83" s="457"/>
      <c r="M83" s="457"/>
      <c r="N83" s="457"/>
      <c r="O83" s="458"/>
    </row>
    <row r="84" spans="2:15" ht="18">
      <c r="B84" s="456"/>
      <c r="C84" s="494" t="s">
        <v>60</v>
      </c>
      <c r="D84" s="373"/>
      <c r="E84" s="494" t="s">
        <v>37</v>
      </c>
      <c r="F84" s="480"/>
      <c r="G84" s="480"/>
      <c r="H84" s="457"/>
      <c r="I84" s="457"/>
      <c r="J84" s="457"/>
      <c r="K84" s="457"/>
      <c r="L84" s="457"/>
      <c r="M84" s="457"/>
      <c r="N84" s="457"/>
      <c r="O84" s="458"/>
    </row>
    <row r="85" spans="2:15" ht="18">
      <c r="B85" s="456"/>
      <c r="C85" s="494" t="s">
        <v>61</v>
      </c>
      <c r="D85" s="340"/>
      <c r="E85" s="494" t="s">
        <v>37</v>
      </c>
      <c r="F85" s="480"/>
      <c r="G85" s="480"/>
      <c r="H85" s="457"/>
      <c r="I85" s="457"/>
      <c r="J85" s="457"/>
      <c r="K85" s="457"/>
      <c r="L85" s="457"/>
      <c r="M85" s="457"/>
      <c r="N85" s="457"/>
      <c r="O85" s="458"/>
    </row>
    <row r="86" spans="2:15" ht="18">
      <c r="B86" s="456"/>
      <c r="C86" s="494" t="s">
        <v>62</v>
      </c>
      <c r="D86" s="339"/>
      <c r="E86" s="494" t="s">
        <v>33</v>
      </c>
      <c r="F86" s="480"/>
      <c r="G86" s="480"/>
      <c r="H86" s="457"/>
      <c r="I86" s="457"/>
      <c r="J86" s="457"/>
      <c r="K86" s="457"/>
      <c r="L86" s="457"/>
      <c r="M86" s="457"/>
      <c r="N86" s="457"/>
      <c r="O86" s="458"/>
    </row>
    <row r="87" spans="2:15" ht="18">
      <c r="B87" s="456"/>
      <c r="C87" s="494" t="s">
        <v>63</v>
      </c>
      <c r="D87" s="339"/>
      <c r="E87" s="494" t="s">
        <v>64</v>
      </c>
      <c r="F87" s="480"/>
      <c r="G87" s="480"/>
      <c r="H87" s="457"/>
      <c r="I87" s="457"/>
      <c r="J87" s="457"/>
      <c r="K87" s="457"/>
      <c r="L87" s="457"/>
      <c r="M87" s="457"/>
      <c r="N87" s="457"/>
      <c r="O87" s="458"/>
    </row>
    <row r="88" spans="2:15" ht="18">
      <c r="B88" s="456"/>
      <c r="C88" s="494" t="s">
        <v>36</v>
      </c>
      <c r="D88" s="340"/>
      <c r="E88" s="494" t="s">
        <v>37</v>
      </c>
      <c r="F88" s="480"/>
      <c r="G88" s="480"/>
      <c r="H88" s="457"/>
      <c r="I88" s="457"/>
      <c r="J88" s="457"/>
      <c r="K88" s="457"/>
      <c r="L88" s="457"/>
      <c r="M88" s="457"/>
      <c r="N88" s="457"/>
      <c r="O88" s="458"/>
    </row>
    <row r="89" spans="2:15" ht="18">
      <c r="B89" s="456"/>
      <c r="C89" s="494" t="s">
        <v>38</v>
      </c>
      <c r="D89" s="340"/>
      <c r="E89" s="494" t="s">
        <v>37</v>
      </c>
      <c r="F89" s="480"/>
      <c r="G89" s="480"/>
      <c r="H89" s="457"/>
      <c r="I89" s="457"/>
      <c r="J89" s="457"/>
      <c r="K89" s="457"/>
      <c r="L89" s="457"/>
      <c r="M89" s="457"/>
      <c r="N89" s="457"/>
      <c r="O89" s="458"/>
    </row>
    <row r="90" spans="2:15" ht="18">
      <c r="B90" s="456"/>
      <c r="C90" s="494" t="s">
        <v>39</v>
      </c>
      <c r="D90" s="340"/>
      <c r="E90" s="494" t="s">
        <v>37</v>
      </c>
      <c r="F90" s="480"/>
      <c r="G90" s="480"/>
      <c r="H90" s="457"/>
      <c r="I90" s="457"/>
      <c r="J90" s="457"/>
      <c r="K90" s="457"/>
      <c r="L90" s="457"/>
      <c r="M90" s="457"/>
      <c r="N90" s="457"/>
      <c r="O90" s="458"/>
    </row>
    <row r="91" spans="2:15" ht="18">
      <c r="B91" s="456"/>
      <c r="C91" s="494" t="s">
        <v>40</v>
      </c>
      <c r="D91" s="341"/>
      <c r="E91" s="494" t="s">
        <v>37</v>
      </c>
      <c r="F91" s="480"/>
      <c r="G91" s="480"/>
      <c r="H91" s="457"/>
      <c r="I91" s="457"/>
      <c r="J91" s="457"/>
      <c r="K91" s="457"/>
      <c r="L91" s="457"/>
      <c r="M91" s="457"/>
      <c r="N91" s="457"/>
      <c r="O91" s="458"/>
    </row>
    <row r="92" spans="2:15" ht="18.600000000000001" thickBot="1">
      <c r="B92" s="456"/>
      <c r="C92" s="496" t="s">
        <v>65</v>
      </c>
      <c r="D92" s="374"/>
      <c r="E92" s="496" t="s">
        <v>47</v>
      </c>
      <c r="F92" s="480"/>
      <c r="G92" s="480"/>
      <c r="H92" s="457"/>
      <c r="I92" s="457"/>
      <c r="J92" s="457"/>
      <c r="K92" s="457"/>
      <c r="L92" s="457"/>
      <c r="M92" s="457"/>
      <c r="N92" s="457"/>
      <c r="O92" s="458"/>
    </row>
    <row r="93" spans="2:15">
      <c r="B93" s="456"/>
      <c r="C93" s="506"/>
      <c r="D93" s="473"/>
      <c r="E93" s="506"/>
      <c r="F93" s="457"/>
      <c r="G93" s="457"/>
      <c r="H93" s="457"/>
      <c r="J93" s="478"/>
      <c r="K93" s="457"/>
      <c r="L93" s="457"/>
      <c r="M93" s="457"/>
      <c r="N93" s="457"/>
      <c r="O93" s="458"/>
    </row>
    <row r="94" spans="2:15" ht="24" customHeight="1">
      <c r="B94" s="456"/>
      <c r="C94" s="507" t="s">
        <v>66</v>
      </c>
      <c r="D94" s="473"/>
      <c r="E94" s="506"/>
      <c r="F94" s="457"/>
      <c r="G94" s="457"/>
      <c r="H94" s="457"/>
      <c r="I94" s="508"/>
      <c r="J94" s="478"/>
      <c r="K94" s="457"/>
      <c r="L94" s="457"/>
      <c r="M94" s="457"/>
      <c r="N94" s="457"/>
      <c r="O94" s="458"/>
    </row>
    <row r="95" spans="2:15" ht="18" customHeight="1" thickBot="1">
      <c r="B95" s="456"/>
      <c r="C95" s="507"/>
      <c r="D95" s="473"/>
      <c r="E95" s="506"/>
      <c r="F95" s="457"/>
      <c r="G95" s="457"/>
      <c r="H95" s="457"/>
      <c r="I95" s="508"/>
      <c r="J95" s="478"/>
      <c r="K95" s="457"/>
      <c r="L95" s="457"/>
      <c r="M95" s="457"/>
      <c r="N95" s="457"/>
      <c r="O95" s="458"/>
    </row>
    <row r="96" spans="2:15" ht="24" customHeight="1" thickBot="1">
      <c r="B96" s="456"/>
      <c r="C96" s="798" t="s">
        <v>67</v>
      </c>
      <c r="D96" s="799"/>
      <c r="E96" s="800"/>
      <c r="F96" s="457"/>
      <c r="G96" s="457"/>
      <c r="H96" s="457"/>
      <c r="I96" s="508"/>
      <c r="J96" s="478"/>
      <c r="K96" s="457"/>
      <c r="L96" s="457"/>
      <c r="M96" s="457"/>
      <c r="N96" s="457"/>
      <c r="O96" s="458"/>
    </row>
    <row r="97" spans="2:15" ht="18" customHeight="1">
      <c r="B97" s="456"/>
      <c r="C97" s="494" t="str">
        <f>Tausta_Hankinnat!A9</f>
        <v>Adventtikalenteri</v>
      </c>
      <c r="D97" s="375"/>
      <c r="E97" s="495" t="s">
        <v>33</v>
      </c>
      <c r="F97" s="457"/>
      <c r="G97" s="457"/>
      <c r="H97" s="457"/>
      <c r="I97" s="508"/>
      <c r="J97" s="478"/>
      <c r="K97" s="457"/>
      <c r="L97" s="457"/>
      <c r="M97" s="457"/>
      <c r="N97" s="457"/>
      <c r="O97" s="458"/>
    </row>
    <row r="98" spans="2:15" ht="18" customHeight="1">
      <c r="B98" s="456"/>
      <c r="C98" s="494" t="str">
        <f>Tausta_Hankinnat!A10</f>
        <v>Lähetetyt kirjeet</v>
      </c>
      <c r="D98" s="375"/>
      <c r="E98" s="495" t="s">
        <v>33</v>
      </c>
      <c r="F98" s="457"/>
      <c r="G98" s="457"/>
      <c r="H98" s="457"/>
      <c r="I98" s="508"/>
      <c r="J98" s="478"/>
      <c r="K98" s="457"/>
      <c r="L98" s="457"/>
      <c r="M98" s="457"/>
      <c r="N98" s="457"/>
      <c r="O98" s="458"/>
    </row>
    <row r="99" spans="2:15" ht="18" customHeight="1" thickBot="1">
      <c r="B99" s="456"/>
      <c r="C99" s="496" t="str">
        <f>Tausta_Hankinnat!A11</f>
        <v>Muu postitus</v>
      </c>
      <c r="D99" s="374"/>
      <c r="E99" s="496" t="s">
        <v>47</v>
      </c>
      <c r="F99" s="457"/>
      <c r="G99" s="457"/>
      <c r="H99" s="457"/>
      <c r="I99" s="508"/>
      <c r="J99" s="478"/>
      <c r="K99" s="457"/>
      <c r="L99" s="457"/>
      <c r="M99" s="457"/>
      <c r="N99" s="457"/>
      <c r="O99" s="458"/>
    </row>
    <row r="100" spans="2:15" ht="18.600000000000001" thickBot="1">
      <c r="B100" s="456"/>
      <c r="C100" s="506"/>
      <c r="D100" s="473"/>
      <c r="E100" s="506"/>
      <c r="F100" s="461"/>
      <c r="G100" s="457"/>
      <c r="H100" s="508" t="s">
        <v>68</v>
      </c>
      <c r="K100" s="457"/>
      <c r="L100" s="457"/>
      <c r="M100" s="457"/>
      <c r="N100" s="457"/>
      <c r="O100" s="458"/>
    </row>
    <row r="101" spans="2:15" ht="24" thickBot="1">
      <c r="B101" s="456"/>
      <c r="C101" s="798" t="s">
        <v>69</v>
      </c>
      <c r="D101" s="799"/>
      <c r="E101" s="799"/>
      <c r="F101" s="509"/>
      <c r="G101" s="509"/>
      <c r="H101" s="509"/>
      <c r="I101" s="488"/>
      <c r="J101" s="478"/>
      <c r="K101" s="510"/>
      <c r="L101" s="457"/>
      <c r="M101" s="457"/>
      <c r="N101" s="457"/>
      <c r="O101" s="458"/>
    </row>
    <row r="102" spans="2:15" ht="18.600000000000001" thickBot="1">
      <c r="B102" s="456"/>
      <c r="C102" s="511" t="s">
        <v>70</v>
      </c>
      <c r="D102" s="511" t="s">
        <v>71</v>
      </c>
      <c r="E102" s="511" t="s">
        <v>72</v>
      </c>
      <c r="F102" s="512" t="s">
        <v>73</v>
      </c>
      <c r="G102" s="512" t="s">
        <v>74</v>
      </c>
      <c r="H102" s="512" t="s">
        <v>75</v>
      </c>
      <c r="I102" s="511" t="s">
        <v>76</v>
      </c>
      <c r="J102" s="513"/>
      <c r="K102" s="480"/>
      <c r="L102" s="480"/>
      <c r="M102" s="480"/>
      <c r="N102" s="457"/>
      <c r="O102" s="458"/>
    </row>
    <row r="103" spans="2:15" ht="18">
      <c r="B103" s="456"/>
      <c r="C103" s="342"/>
      <c r="D103" s="342" t="s">
        <v>43</v>
      </c>
      <c r="E103" s="342" t="s">
        <v>43</v>
      </c>
      <c r="F103" s="361" t="s">
        <v>43</v>
      </c>
      <c r="G103" s="361" t="s">
        <v>43</v>
      </c>
      <c r="H103" s="346"/>
      <c r="I103" s="346"/>
      <c r="J103" s="508"/>
      <c r="K103" s="480"/>
      <c r="L103" s="480"/>
      <c r="M103" s="480"/>
      <c r="N103" s="457"/>
      <c r="O103" s="458"/>
    </row>
    <row r="104" spans="2:15" ht="18">
      <c r="B104" s="456"/>
      <c r="C104" s="344"/>
      <c r="D104" s="344" t="s">
        <v>43</v>
      </c>
      <c r="E104" s="344" t="s">
        <v>43</v>
      </c>
      <c r="F104" s="362" t="s">
        <v>43</v>
      </c>
      <c r="G104" s="362" t="s">
        <v>43</v>
      </c>
      <c r="H104" s="348"/>
      <c r="I104" s="348"/>
      <c r="J104" s="480"/>
      <c r="K104" s="480"/>
      <c r="L104" s="480"/>
      <c r="M104" s="480"/>
      <c r="N104" s="457"/>
      <c r="O104" s="458"/>
    </row>
    <row r="105" spans="2:15" ht="18">
      <c r="B105" s="456"/>
      <c r="C105" s="343"/>
      <c r="D105" s="343" t="s">
        <v>43</v>
      </c>
      <c r="E105" s="343" t="s">
        <v>43</v>
      </c>
      <c r="F105" s="363" t="s">
        <v>43</v>
      </c>
      <c r="G105" s="363" t="s">
        <v>43</v>
      </c>
      <c r="H105" s="347"/>
      <c r="I105" s="349"/>
      <c r="J105" s="482"/>
      <c r="K105" s="480"/>
      <c r="L105" s="480"/>
      <c r="M105" s="480"/>
      <c r="N105" s="457"/>
      <c r="O105" s="458"/>
    </row>
    <row r="106" spans="2:15" ht="18">
      <c r="B106" s="456"/>
      <c r="C106" s="344"/>
      <c r="D106" s="344" t="s">
        <v>43</v>
      </c>
      <c r="E106" s="344" t="s">
        <v>43</v>
      </c>
      <c r="F106" s="362" t="s">
        <v>43</v>
      </c>
      <c r="G106" s="362" t="s">
        <v>43</v>
      </c>
      <c r="H106" s="348"/>
      <c r="I106" s="348"/>
      <c r="J106" s="480"/>
      <c r="K106" s="480"/>
      <c r="L106" s="480"/>
      <c r="M106" s="480"/>
      <c r="N106" s="457"/>
      <c r="O106" s="458"/>
    </row>
    <row r="107" spans="2:15" ht="18">
      <c r="B107" s="456"/>
      <c r="C107" s="343"/>
      <c r="D107" s="343" t="s">
        <v>43</v>
      </c>
      <c r="E107" s="343" t="s">
        <v>43</v>
      </c>
      <c r="F107" s="363" t="s">
        <v>43</v>
      </c>
      <c r="G107" s="363" t="s">
        <v>43</v>
      </c>
      <c r="H107" s="347"/>
      <c r="I107" s="349"/>
      <c r="J107" s="482"/>
      <c r="K107" s="480"/>
      <c r="L107" s="480"/>
      <c r="M107" s="480"/>
      <c r="N107" s="457"/>
      <c r="O107" s="458"/>
    </row>
    <row r="108" spans="2:15" ht="18">
      <c r="B108" s="456"/>
      <c r="C108" s="344"/>
      <c r="D108" s="344" t="s">
        <v>43</v>
      </c>
      <c r="E108" s="344" t="s">
        <v>43</v>
      </c>
      <c r="F108" s="362" t="s">
        <v>43</v>
      </c>
      <c r="G108" s="362" t="s">
        <v>43</v>
      </c>
      <c r="H108" s="348"/>
      <c r="I108" s="348"/>
      <c r="J108" s="480"/>
      <c r="K108" s="480"/>
      <c r="L108" s="480"/>
      <c r="M108" s="480"/>
      <c r="N108" s="457"/>
      <c r="O108" s="458"/>
    </row>
    <row r="109" spans="2:15" ht="18.600000000000001" thickBot="1">
      <c r="B109" s="456"/>
      <c r="C109" s="343"/>
      <c r="D109" s="343" t="s">
        <v>43</v>
      </c>
      <c r="E109" s="343" t="s">
        <v>43</v>
      </c>
      <c r="F109" s="363" t="s">
        <v>43</v>
      </c>
      <c r="G109" s="367" t="s">
        <v>43</v>
      </c>
      <c r="H109" s="368"/>
      <c r="I109" s="368"/>
      <c r="J109" s="482"/>
      <c r="K109" s="480"/>
      <c r="L109" s="480"/>
      <c r="M109" s="480"/>
      <c r="O109" s="458"/>
    </row>
    <row r="110" spans="2:15" ht="18" hidden="1" thickBot="1">
      <c r="B110" s="456"/>
      <c r="C110" s="514" t="s">
        <v>43</v>
      </c>
      <c r="D110" s="515"/>
      <c r="E110" s="514" t="s">
        <v>43</v>
      </c>
      <c r="F110" s="516" t="s">
        <v>43</v>
      </c>
      <c r="G110" s="517" t="s">
        <v>43</v>
      </c>
      <c r="H110" s="517" t="s">
        <v>43</v>
      </c>
      <c r="I110" s="518"/>
      <c r="J110" s="518"/>
      <c r="K110" s="480"/>
      <c r="L110" s="480"/>
      <c r="M110" s="480"/>
      <c r="N110" s="519"/>
      <c r="O110" s="458"/>
    </row>
    <row r="111" spans="2:15" ht="18" hidden="1" thickBot="1">
      <c r="B111" s="456"/>
      <c r="C111" s="520" t="s">
        <v>43</v>
      </c>
      <c r="D111" s="521"/>
      <c r="E111" s="520" t="s">
        <v>43</v>
      </c>
      <c r="F111" s="522" t="s">
        <v>43</v>
      </c>
      <c r="G111" s="523" t="s">
        <v>43</v>
      </c>
      <c r="H111" s="523" t="s">
        <v>43</v>
      </c>
      <c r="I111" s="524"/>
      <c r="J111" s="524"/>
      <c r="K111" s="480"/>
      <c r="L111" s="480"/>
      <c r="M111" s="480"/>
      <c r="N111" s="519"/>
      <c r="O111" s="458"/>
    </row>
    <row r="112" spans="2:15" ht="18" hidden="1" thickBot="1">
      <c r="B112" s="456"/>
      <c r="C112" s="520" t="s">
        <v>43</v>
      </c>
      <c r="D112" s="521"/>
      <c r="E112" s="520" t="s">
        <v>43</v>
      </c>
      <c r="F112" s="522" t="s">
        <v>43</v>
      </c>
      <c r="G112" s="523" t="s">
        <v>43</v>
      </c>
      <c r="H112" s="523" t="s">
        <v>43</v>
      </c>
      <c r="I112" s="524"/>
      <c r="J112" s="524"/>
      <c r="K112" s="480"/>
      <c r="L112" s="480"/>
      <c r="M112" s="480"/>
      <c r="N112" s="519"/>
      <c r="O112" s="458"/>
    </row>
    <row r="113" spans="2:15" ht="18" hidden="1" thickBot="1">
      <c r="B113" s="456"/>
      <c r="C113" s="520" t="s">
        <v>43</v>
      </c>
      <c r="D113" s="521"/>
      <c r="E113" s="520" t="s">
        <v>43</v>
      </c>
      <c r="F113" s="522" t="s">
        <v>43</v>
      </c>
      <c r="G113" s="523" t="s">
        <v>43</v>
      </c>
      <c r="H113" s="523" t="s">
        <v>43</v>
      </c>
      <c r="I113" s="524"/>
      <c r="J113" s="524"/>
      <c r="K113" s="480"/>
      <c r="L113" s="480"/>
      <c r="M113" s="480"/>
      <c r="N113" s="519"/>
      <c r="O113" s="458"/>
    </row>
    <row r="114" spans="2:15" ht="18" hidden="1" thickBot="1">
      <c r="B114" s="456"/>
      <c r="C114" s="520" t="s">
        <v>43</v>
      </c>
      <c r="D114" s="521"/>
      <c r="E114" s="520" t="s">
        <v>43</v>
      </c>
      <c r="F114" s="522" t="s">
        <v>43</v>
      </c>
      <c r="G114" s="523" t="s">
        <v>43</v>
      </c>
      <c r="H114" s="523" t="s">
        <v>43</v>
      </c>
      <c r="I114" s="524"/>
      <c r="J114" s="524"/>
      <c r="K114" s="480"/>
      <c r="L114" s="480"/>
      <c r="M114" s="480"/>
      <c r="N114" s="519"/>
      <c r="O114" s="458"/>
    </row>
    <row r="115" spans="2:15" ht="18" hidden="1" thickBot="1">
      <c r="B115" s="456"/>
      <c r="C115" s="520" t="s">
        <v>43</v>
      </c>
      <c r="D115" s="521"/>
      <c r="E115" s="520" t="s">
        <v>43</v>
      </c>
      <c r="F115" s="522" t="s">
        <v>43</v>
      </c>
      <c r="G115" s="523" t="s">
        <v>43</v>
      </c>
      <c r="H115" s="523" t="s">
        <v>43</v>
      </c>
      <c r="I115" s="524"/>
      <c r="J115" s="524"/>
      <c r="K115" s="480"/>
      <c r="L115" s="480"/>
      <c r="M115" s="480"/>
      <c r="N115" s="519"/>
      <c r="O115" s="458"/>
    </row>
    <row r="116" spans="2:15" ht="18" hidden="1" thickBot="1">
      <c r="B116" s="456"/>
      <c r="C116" s="520" t="s">
        <v>43</v>
      </c>
      <c r="D116" s="521"/>
      <c r="E116" s="520" t="s">
        <v>43</v>
      </c>
      <c r="F116" s="522" t="s">
        <v>43</v>
      </c>
      <c r="G116" s="523" t="s">
        <v>43</v>
      </c>
      <c r="H116" s="523" t="s">
        <v>43</v>
      </c>
      <c r="I116" s="524"/>
      <c r="J116" s="524"/>
      <c r="K116" s="480"/>
      <c r="L116" s="480"/>
      <c r="M116" s="480"/>
      <c r="N116" s="519"/>
      <c r="O116" s="458"/>
    </row>
    <row r="117" spans="2:15" ht="18" hidden="1" thickBot="1">
      <c r="B117" s="456"/>
      <c r="C117" s="520" t="s">
        <v>43</v>
      </c>
      <c r="D117" s="521"/>
      <c r="E117" s="520" t="s">
        <v>43</v>
      </c>
      <c r="F117" s="522" t="s">
        <v>43</v>
      </c>
      <c r="G117" s="523" t="s">
        <v>43</v>
      </c>
      <c r="H117" s="523" t="s">
        <v>43</v>
      </c>
      <c r="I117" s="524"/>
      <c r="J117" s="524"/>
      <c r="K117" s="480"/>
      <c r="L117" s="480"/>
      <c r="M117" s="480"/>
      <c r="N117" s="519"/>
      <c r="O117" s="458"/>
    </row>
    <row r="118" spans="2:15" ht="18" hidden="1" thickBot="1">
      <c r="B118" s="456"/>
      <c r="C118" s="520" t="s">
        <v>43</v>
      </c>
      <c r="D118" s="521"/>
      <c r="E118" s="520" t="s">
        <v>43</v>
      </c>
      <c r="F118" s="522" t="s">
        <v>43</v>
      </c>
      <c r="G118" s="523" t="s">
        <v>43</v>
      </c>
      <c r="H118" s="523" t="s">
        <v>43</v>
      </c>
      <c r="I118" s="524"/>
      <c r="J118" s="524"/>
      <c r="K118" s="480"/>
      <c r="L118" s="480"/>
      <c r="M118" s="480"/>
      <c r="N118" s="519"/>
      <c r="O118" s="458"/>
    </row>
    <row r="119" spans="2:15" ht="18" hidden="1" thickBot="1">
      <c r="B119" s="456"/>
      <c r="C119" s="520" t="s">
        <v>43</v>
      </c>
      <c r="D119" s="521"/>
      <c r="E119" s="520" t="s">
        <v>43</v>
      </c>
      <c r="F119" s="522" t="s">
        <v>43</v>
      </c>
      <c r="G119" s="523" t="s">
        <v>43</v>
      </c>
      <c r="H119" s="523" t="s">
        <v>43</v>
      </c>
      <c r="I119" s="524"/>
      <c r="J119" s="524"/>
      <c r="K119" s="480"/>
      <c r="L119" s="480"/>
      <c r="M119" s="480"/>
      <c r="N119" s="519"/>
      <c r="O119" s="458"/>
    </row>
    <row r="120" spans="2:15" ht="18" hidden="1" thickBot="1">
      <c r="B120" s="456"/>
      <c r="C120" s="520" t="s">
        <v>43</v>
      </c>
      <c r="D120" s="521"/>
      <c r="E120" s="520" t="s">
        <v>43</v>
      </c>
      <c r="F120" s="522" t="s">
        <v>43</v>
      </c>
      <c r="G120" s="523" t="s">
        <v>43</v>
      </c>
      <c r="H120" s="523" t="s">
        <v>43</v>
      </c>
      <c r="I120" s="524"/>
      <c r="J120" s="524"/>
      <c r="K120" s="480"/>
      <c r="L120" s="480"/>
      <c r="M120" s="480"/>
      <c r="N120" s="519"/>
      <c r="O120" s="458"/>
    </row>
    <row r="121" spans="2:15" ht="18" hidden="1" thickBot="1">
      <c r="B121" s="456"/>
      <c r="C121" s="520" t="s">
        <v>43</v>
      </c>
      <c r="D121" s="521"/>
      <c r="E121" s="520" t="s">
        <v>43</v>
      </c>
      <c r="F121" s="522" t="s">
        <v>43</v>
      </c>
      <c r="G121" s="523" t="s">
        <v>43</v>
      </c>
      <c r="H121" s="523" t="s">
        <v>43</v>
      </c>
      <c r="I121" s="524"/>
      <c r="J121" s="524"/>
      <c r="K121" s="480"/>
      <c r="L121" s="480"/>
      <c r="M121" s="480"/>
      <c r="N121" s="519"/>
      <c r="O121" s="458"/>
    </row>
    <row r="122" spans="2:15" ht="18" hidden="1" thickBot="1">
      <c r="B122" s="456"/>
      <c r="C122" s="520" t="s">
        <v>43</v>
      </c>
      <c r="D122" s="521"/>
      <c r="E122" s="520" t="s">
        <v>43</v>
      </c>
      <c r="F122" s="522" t="s">
        <v>43</v>
      </c>
      <c r="G122" s="523" t="s">
        <v>43</v>
      </c>
      <c r="H122" s="523" t="s">
        <v>43</v>
      </c>
      <c r="I122" s="524"/>
      <c r="J122" s="524"/>
      <c r="K122" s="480"/>
      <c r="L122" s="480"/>
      <c r="M122" s="480"/>
      <c r="N122" s="519"/>
      <c r="O122" s="458"/>
    </row>
    <row r="123" spans="2:15" ht="18" hidden="1" thickBot="1">
      <c r="B123" s="456"/>
      <c r="C123" s="520" t="s">
        <v>43</v>
      </c>
      <c r="D123" s="521"/>
      <c r="E123" s="520" t="s">
        <v>43</v>
      </c>
      <c r="F123" s="522" t="s">
        <v>43</v>
      </c>
      <c r="G123" s="523" t="s">
        <v>43</v>
      </c>
      <c r="H123" s="523" t="s">
        <v>43</v>
      </c>
      <c r="I123" s="524"/>
      <c r="J123" s="524"/>
      <c r="K123" s="480"/>
      <c r="L123" s="480"/>
      <c r="M123" s="480"/>
      <c r="N123" s="519"/>
      <c r="O123" s="458"/>
    </row>
    <row r="124" spans="2:15" ht="18" hidden="1" thickBot="1">
      <c r="B124" s="456"/>
      <c r="C124" s="520" t="s">
        <v>43</v>
      </c>
      <c r="D124" s="521"/>
      <c r="E124" s="520" t="s">
        <v>43</v>
      </c>
      <c r="F124" s="522" t="s">
        <v>43</v>
      </c>
      <c r="G124" s="523" t="s">
        <v>43</v>
      </c>
      <c r="H124" s="523" t="s">
        <v>43</v>
      </c>
      <c r="I124" s="524"/>
      <c r="J124" s="524"/>
      <c r="K124" s="480"/>
      <c r="L124" s="480"/>
      <c r="M124" s="480"/>
      <c r="N124" s="519"/>
      <c r="O124" s="458"/>
    </row>
    <row r="125" spans="2:15" ht="18" hidden="1" thickBot="1">
      <c r="B125" s="456"/>
      <c r="C125" s="520" t="s">
        <v>43</v>
      </c>
      <c r="D125" s="521"/>
      <c r="E125" s="520" t="s">
        <v>43</v>
      </c>
      <c r="F125" s="522" t="s">
        <v>43</v>
      </c>
      <c r="G125" s="523" t="s">
        <v>43</v>
      </c>
      <c r="H125" s="523" t="s">
        <v>43</v>
      </c>
      <c r="I125" s="524"/>
      <c r="J125" s="524"/>
      <c r="K125" s="480"/>
      <c r="L125" s="480"/>
      <c r="M125" s="480"/>
      <c r="N125" s="519"/>
      <c r="O125" s="458"/>
    </row>
    <row r="126" spans="2:15" ht="18" hidden="1" thickBot="1">
      <c r="B126" s="456"/>
      <c r="C126" s="520" t="s">
        <v>43</v>
      </c>
      <c r="D126" s="521"/>
      <c r="E126" s="520" t="s">
        <v>43</v>
      </c>
      <c r="F126" s="522" t="s">
        <v>43</v>
      </c>
      <c r="G126" s="523" t="s">
        <v>43</v>
      </c>
      <c r="H126" s="523" t="s">
        <v>43</v>
      </c>
      <c r="I126" s="524"/>
      <c r="J126" s="524"/>
      <c r="K126" s="480"/>
      <c r="L126" s="480"/>
      <c r="M126" s="480"/>
      <c r="N126" s="519"/>
      <c r="O126" s="458"/>
    </row>
    <row r="127" spans="2:15" ht="18" hidden="1" thickBot="1">
      <c r="B127" s="456"/>
      <c r="C127" s="520" t="s">
        <v>43</v>
      </c>
      <c r="D127" s="521"/>
      <c r="E127" s="520" t="s">
        <v>43</v>
      </c>
      <c r="F127" s="522" t="s">
        <v>43</v>
      </c>
      <c r="G127" s="523" t="s">
        <v>43</v>
      </c>
      <c r="H127" s="523" t="s">
        <v>43</v>
      </c>
      <c r="I127" s="524"/>
      <c r="J127" s="524"/>
      <c r="K127" s="480"/>
      <c r="L127" s="480"/>
      <c r="M127" s="480"/>
      <c r="N127" s="519"/>
      <c r="O127" s="458"/>
    </row>
    <row r="128" spans="2:15" ht="18" hidden="1" thickBot="1">
      <c r="B128" s="456"/>
      <c r="C128" s="520" t="s">
        <v>43</v>
      </c>
      <c r="D128" s="521"/>
      <c r="E128" s="520" t="s">
        <v>43</v>
      </c>
      <c r="F128" s="522" t="s">
        <v>43</v>
      </c>
      <c r="G128" s="523" t="s">
        <v>43</v>
      </c>
      <c r="H128" s="523" t="s">
        <v>43</v>
      </c>
      <c r="I128" s="524"/>
      <c r="J128" s="524"/>
      <c r="K128" s="480"/>
      <c r="L128" s="480"/>
      <c r="M128" s="480"/>
      <c r="N128" s="519"/>
      <c r="O128" s="458"/>
    </row>
    <row r="129" spans="2:15" ht="18" hidden="1" thickBot="1">
      <c r="B129" s="456"/>
      <c r="C129" s="520" t="s">
        <v>43</v>
      </c>
      <c r="D129" s="521"/>
      <c r="E129" s="520" t="s">
        <v>43</v>
      </c>
      <c r="F129" s="522" t="s">
        <v>43</v>
      </c>
      <c r="G129" s="523" t="s">
        <v>43</v>
      </c>
      <c r="H129" s="523" t="s">
        <v>43</v>
      </c>
      <c r="I129" s="524"/>
      <c r="J129" s="524"/>
      <c r="K129" s="480"/>
      <c r="L129" s="480"/>
      <c r="M129" s="480"/>
      <c r="N129" s="519"/>
      <c r="O129" s="458"/>
    </row>
    <row r="130" spans="2:15" ht="18" hidden="1" thickBot="1">
      <c r="B130" s="456"/>
      <c r="C130" s="520" t="s">
        <v>43</v>
      </c>
      <c r="D130" s="521"/>
      <c r="E130" s="520" t="s">
        <v>43</v>
      </c>
      <c r="F130" s="522" t="s">
        <v>43</v>
      </c>
      <c r="G130" s="523" t="s">
        <v>43</v>
      </c>
      <c r="H130" s="523" t="s">
        <v>43</v>
      </c>
      <c r="I130" s="524"/>
      <c r="J130" s="524"/>
      <c r="K130" s="480"/>
      <c r="L130" s="480"/>
      <c r="M130" s="480"/>
      <c r="N130" s="519"/>
      <c r="O130" s="458"/>
    </row>
    <row r="131" spans="2:15" ht="18" hidden="1" thickBot="1">
      <c r="B131" s="456"/>
      <c r="C131" s="520" t="s">
        <v>43</v>
      </c>
      <c r="D131" s="521"/>
      <c r="E131" s="520" t="s">
        <v>43</v>
      </c>
      <c r="F131" s="522" t="s">
        <v>43</v>
      </c>
      <c r="G131" s="523" t="s">
        <v>43</v>
      </c>
      <c r="H131" s="523" t="s">
        <v>43</v>
      </c>
      <c r="I131" s="524"/>
      <c r="J131" s="524"/>
      <c r="K131" s="480"/>
      <c r="L131" s="480"/>
      <c r="M131" s="480"/>
      <c r="N131" s="519"/>
      <c r="O131" s="458"/>
    </row>
    <row r="132" spans="2:15" ht="18" hidden="1" thickBot="1">
      <c r="B132" s="456"/>
      <c r="C132" s="520" t="s">
        <v>43</v>
      </c>
      <c r="D132" s="521"/>
      <c r="E132" s="520" t="s">
        <v>43</v>
      </c>
      <c r="F132" s="522" t="s">
        <v>43</v>
      </c>
      <c r="G132" s="523" t="s">
        <v>43</v>
      </c>
      <c r="H132" s="523" t="s">
        <v>43</v>
      </c>
      <c r="I132" s="524"/>
      <c r="J132" s="524"/>
      <c r="K132" s="480"/>
      <c r="L132" s="480"/>
      <c r="M132" s="480"/>
      <c r="N132" s="519"/>
      <c r="O132" s="458"/>
    </row>
    <row r="133" spans="2:15" ht="18" hidden="1" thickBot="1">
      <c r="B133" s="456"/>
      <c r="C133" s="520" t="s">
        <v>43</v>
      </c>
      <c r="D133" s="521"/>
      <c r="E133" s="520" t="s">
        <v>43</v>
      </c>
      <c r="F133" s="522" t="s">
        <v>43</v>
      </c>
      <c r="G133" s="523" t="s">
        <v>43</v>
      </c>
      <c r="H133" s="523" t="s">
        <v>43</v>
      </c>
      <c r="I133" s="524"/>
      <c r="J133" s="524"/>
      <c r="K133" s="480"/>
      <c r="L133" s="480"/>
      <c r="M133" s="480"/>
      <c r="N133" s="519"/>
      <c r="O133" s="458"/>
    </row>
    <row r="134" spans="2:15" ht="18" hidden="1" thickBot="1">
      <c r="B134" s="456"/>
      <c r="C134" s="520" t="s">
        <v>43</v>
      </c>
      <c r="D134" s="521"/>
      <c r="E134" s="520" t="s">
        <v>43</v>
      </c>
      <c r="F134" s="522" t="s">
        <v>43</v>
      </c>
      <c r="G134" s="523" t="s">
        <v>43</v>
      </c>
      <c r="H134" s="523" t="s">
        <v>43</v>
      </c>
      <c r="I134" s="524"/>
      <c r="J134" s="524"/>
      <c r="K134" s="480"/>
      <c r="L134" s="480"/>
      <c r="M134" s="480"/>
      <c r="N134" s="519"/>
      <c r="O134" s="458"/>
    </row>
    <row r="135" spans="2:15" ht="18" hidden="1" thickBot="1">
      <c r="B135" s="456"/>
      <c r="C135" s="520" t="s">
        <v>43</v>
      </c>
      <c r="D135" s="521"/>
      <c r="E135" s="520" t="s">
        <v>43</v>
      </c>
      <c r="F135" s="522" t="s">
        <v>43</v>
      </c>
      <c r="G135" s="523" t="s">
        <v>43</v>
      </c>
      <c r="H135" s="523" t="s">
        <v>43</v>
      </c>
      <c r="I135" s="524"/>
      <c r="J135" s="524"/>
      <c r="K135" s="480"/>
      <c r="L135" s="480"/>
      <c r="M135" s="480"/>
      <c r="N135" s="519"/>
      <c r="O135" s="458"/>
    </row>
    <row r="136" spans="2:15" ht="18" hidden="1" thickBot="1">
      <c r="B136" s="456"/>
      <c r="C136" s="520" t="s">
        <v>43</v>
      </c>
      <c r="D136" s="521"/>
      <c r="E136" s="520" t="s">
        <v>43</v>
      </c>
      <c r="F136" s="522" t="s">
        <v>43</v>
      </c>
      <c r="G136" s="523" t="s">
        <v>43</v>
      </c>
      <c r="H136" s="523" t="s">
        <v>43</v>
      </c>
      <c r="I136" s="524"/>
      <c r="J136" s="524"/>
      <c r="K136" s="480"/>
      <c r="L136" s="480"/>
      <c r="M136" s="480"/>
      <c r="N136" s="519"/>
      <c r="O136" s="458"/>
    </row>
    <row r="137" spans="2:15" ht="18" hidden="1" thickBot="1">
      <c r="B137" s="456"/>
      <c r="C137" s="520" t="s">
        <v>43</v>
      </c>
      <c r="D137" s="521"/>
      <c r="E137" s="520" t="s">
        <v>43</v>
      </c>
      <c r="F137" s="522" t="s">
        <v>43</v>
      </c>
      <c r="G137" s="523" t="s">
        <v>43</v>
      </c>
      <c r="H137" s="523" t="s">
        <v>43</v>
      </c>
      <c r="I137" s="524"/>
      <c r="J137" s="524"/>
      <c r="K137" s="480"/>
      <c r="L137" s="480"/>
      <c r="M137" s="480"/>
      <c r="N137" s="519"/>
      <c r="O137" s="458"/>
    </row>
    <row r="138" spans="2:15" ht="18" hidden="1" thickBot="1">
      <c r="B138" s="456"/>
      <c r="C138" s="520" t="s">
        <v>43</v>
      </c>
      <c r="D138" s="521"/>
      <c r="E138" s="520" t="s">
        <v>43</v>
      </c>
      <c r="F138" s="522" t="s">
        <v>43</v>
      </c>
      <c r="G138" s="523" t="s">
        <v>43</v>
      </c>
      <c r="H138" s="523" t="s">
        <v>43</v>
      </c>
      <c r="I138" s="524"/>
      <c r="J138" s="524"/>
      <c r="K138" s="480"/>
      <c r="L138" s="480"/>
      <c r="M138" s="480"/>
      <c r="N138" s="519"/>
      <c r="O138" s="458"/>
    </row>
    <row r="139" spans="2:15" ht="18" hidden="1" thickBot="1">
      <c r="B139" s="456"/>
      <c r="C139" s="520" t="s">
        <v>43</v>
      </c>
      <c r="D139" s="521"/>
      <c r="E139" s="520" t="s">
        <v>43</v>
      </c>
      <c r="F139" s="522" t="s">
        <v>43</v>
      </c>
      <c r="G139" s="523" t="s">
        <v>43</v>
      </c>
      <c r="H139" s="523" t="s">
        <v>43</v>
      </c>
      <c r="I139" s="524"/>
      <c r="J139" s="524"/>
      <c r="K139" s="480"/>
      <c r="L139" s="480"/>
      <c r="M139" s="480"/>
      <c r="N139" s="519"/>
      <c r="O139" s="458"/>
    </row>
    <row r="140" spans="2:15" ht="18" hidden="1" thickBot="1">
      <c r="B140" s="456"/>
      <c r="C140" s="520" t="s">
        <v>43</v>
      </c>
      <c r="D140" s="521"/>
      <c r="E140" s="520" t="s">
        <v>43</v>
      </c>
      <c r="F140" s="522" t="s">
        <v>43</v>
      </c>
      <c r="G140" s="523" t="s">
        <v>43</v>
      </c>
      <c r="H140" s="523" t="s">
        <v>43</v>
      </c>
      <c r="I140" s="524"/>
      <c r="J140" s="524"/>
      <c r="K140" s="480"/>
      <c r="L140" s="480"/>
      <c r="M140" s="480"/>
      <c r="N140" s="519"/>
      <c r="O140" s="458"/>
    </row>
    <row r="141" spans="2:15" ht="18" hidden="1" thickBot="1">
      <c r="B141" s="456"/>
      <c r="C141" s="520" t="s">
        <v>43</v>
      </c>
      <c r="D141" s="521"/>
      <c r="E141" s="520" t="s">
        <v>43</v>
      </c>
      <c r="F141" s="522" t="s">
        <v>43</v>
      </c>
      <c r="G141" s="523" t="s">
        <v>43</v>
      </c>
      <c r="H141" s="523" t="s">
        <v>43</v>
      </c>
      <c r="I141" s="524"/>
      <c r="J141" s="524"/>
      <c r="K141" s="480"/>
      <c r="L141" s="480"/>
      <c r="M141" s="480"/>
      <c r="N141" s="519"/>
      <c r="O141" s="458"/>
    </row>
    <row r="142" spans="2:15" ht="18" hidden="1" thickBot="1">
      <c r="B142" s="456"/>
      <c r="C142" s="520" t="s">
        <v>43</v>
      </c>
      <c r="D142" s="521"/>
      <c r="E142" s="520" t="s">
        <v>43</v>
      </c>
      <c r="F142" s="522" t="s">
        <v>43</v>
      </c>
      <c r="G142" s="523" t="s">
        <v>43</v>
      </c>
      <c r="H142" s="523" t="s">
        <v>43</v>
      </c>
      <c r="I142" s="524"/>
      <c r="J142" s="524"/>
      <c r="K142" s="480"/>
      <c r="L142" s="480"/>
      <c r="M142" s="480"/>
      <c r="N142" s="519"/>
      <c r="O142" s="458"/>
    </row>
    <row r="143" spans="2:15" ht="18" hidden="1" thickBot="1">
      <c r="B143" s="456"/>
      <c r="C143" s="520" t="s">
        <v>43</v>
      </c>
      <c r="D143" s="521"/>
      <c r="E143" s="520" t="s">
        <v>43</v>
      </c>
      <c r="F143" s="522" t="s">
        <v>43</v>
      </c>
      <c r="G143" s="525" t="s">
        <v>43</v>
      </c>
      <c r="H143" s="525" t="s">
        <v>43</v>
      </c>
      <c r="I143" s="526"/>
      <c r="J143" s="526"/>
      <c r="K143" s="527"/>
      <c r="L143" s="527"/>
      <c r="M143" s="527"/>
      <c r="N143" s="528"/>
      <c r="O143" s="458"/>
    </row>
    <row r="144" spans="2:15" ht="18" customHeight="1" thickBot="1">
      <c r="B144" s="456"/>
      <c r="C144" s="529"/>
      <c r="D144" s="530"/>
      <c r="E144" s="530"/>
      <c r="F144" s="531"/>
      <c r="G144" s="824"/>
      <c r="H144" s="824"/>
      <c r="I144" s="824"/>
      <c r="J144" s="824"/>
      <c r="K144" s="457"/>
      <c r="L144" s="457"/>
      <c r="M144" s="457"/>
      <c r="N144" s="457"/>
      <c r="O144" s="458"/>
    </row>
    <row r="145" spans="2:15" ht="24" customHeight="1" thickBot="1">
      <c r="B145" s="456"/>
      <c r="C145" s="798" t="s">
        <v>77</v>
      </c>
      <c r="D145" s="799"/>
      <c r="E145" s="799"/>
      <c r="F145" s="509"/>
      <c r="G145" s="488"/>
      <c r="H145" s="532"/>
      <c r="I145" s="532"/>
      <c r="J145" s="532"/>
      <c r="K145" s="457"/>
      <c r="L145" s="457"/>
      <c r="M145" s="457"/>
      <c r="N145" s="457"/>
      <c r="O145" s="458"/>
    </row>
    <row r="146" spans="2:15" ht="24" customHeight="1" thickBot="1">
      <c r="B146" s="456"/>
      <c r="C146" s="798" t="s">
        <v>78</v>
      </c>
      <c r="D146" s="799"/>
      <c r="E146" s="800"/>
      <c r="F146" s="813" t="s">
        <v>79</v>
      </c>
      <c r="G146" s="814"/>
      <c r="H146" s="532"/>
      <c r="I146" s="532"/>
      <c r="J146" s="532"/>
      <c r="K146" s="457"/>
      <c r="L146" s="457"/>
      <c r="M146" s="457"/>
      <c r="N146" s="457"/>
      <c r="O146" s="458"/>
    </row>
    <row r="147" spans="2:15" ht="18" customHeight="1">
      <c r="B147" s="456"/>
      <c r="C147" s="487" t="s">
        <v>80</v>
      </c>
      <c r="D147" s="342"/>
      <c r="E147" s="533" t="s">
        <v>81</v>
      </c>
      <c r="F147" s="334"/>
      <c r="G147" s="500" t="s">
        <v>47</v>
      </c>
      <c r="H147" s="532"/>
      <c r="I147" s="532"/>
      <c r="J147" s="532"/>
      <c r="K147" s="457"/>
      <c r="L147" s="457"/>
      <c r="M147" s="457"/>
      <c r="N147" s="457"/>
      <c r="O147" s="458"/>
    </row>
    <row r="148" spans="2:15" ht="18" customHeight="1">
      <c r="B148" s="456"/>
      <c r="C148" s="482" t="s">
        <v>82</v>
      </c>
      <c r="D148" s="343"/>
      <c r="E148" s="495" t="s">
        <v>83</v>
      </c>
      <c r="F148" s="335"/>
      <c r="G148" s="494" t="s">
        <v>47</v>
      </c>
      <c r="H148" s="532"/>
      <c r="I148" s="532"/>
      <c r="J148" s="532"/>
      <c r="K148" s="457"/>
      <c r="L148" s="457"/>
      <c r="M148" s="457"/>
      <c r="N148" s="457"/>
      <c r="O148" s="458"/>
    </row>
    <row r="149" spans="2:15" ht="18" customHeight="1">
      <c r="B149" s="456"/>
      <c r="C149" s="482" t="s">
        <v>84</v>
      </c>
      <c r="D149" s="343"/>
      <c r="E149" s="495" t="s">
        <v>85</v>
      </c>
      <c r="F149" s="335"/>
      <c r="G149" s="494" t="s">
        <v>47</v>
      </c>
      <c r="H149" s="532"/>
      <c r="I149" s="532"/>
      <c r="J149" s="532"/>
      <c r="K149" s="457"/>
      <c r="L149" s="457"/>
      <c r="M149" s="457"/>
      <c r="N149" s="457"/>
      <c r="O149" s="458"/>
    </row>
    <row r="150" spans="2:15" ht="18" customHeight="1">
      <c r="B150" s="456"/>
      <c r="C150" s="482" t="s">
        <v>86</v>
      </c>
      <c r="D150" s="343"/>
      <c r="E150" s="495" t="s">
        <v>85</v>
      </c>
      <c r="F150" s="335"/>
      <c r="G150" s="494" t="s">
        <v>47</v>
      </c>
      <c r="H150" s="532"/>
      <c r="I150" s="532"/>
      <c r="J150" s="532"/>
      <c r="K150" s="457"/>
      <c r="L150" s="457"/>
      <c r="M150" s="457"/>
      <c r="N150" s="457"/>
      <c r="O150" s="458"/>
    </row>
    <row r="151" spans="2:15" ht="18" customHeight="1">
      <c r="B151" s="456"/>
      <c r="C151" s="482" t="s">
        <v>87</v>
      </c>
      <c r="D151" s="343"/>
      <c r="E151" s="495" t="s">
        <v>85</v>
      </c>
      <c r="F151" s="335"/>
      <c r="G151" s="494" t="s">
        <v>47</v>
      </c>
      <c r="H151" s="532"/>
      <c r="I151" s="532"/>
      <c r="J151" s="532"/>
      <c r="K151" s="457"/>
      <c r="L151" s="457"/>
      <c r="M151" s="457"/>
      <c r="N151" s="457"/>
      <c r="O151" s="458"/>
    </row>
    <row r="152" spans="2:15" ht="18" customHeight="1">
      <c r="B152" s="456"/>
      <c r="C152" s="482" t="s">
        <v>88</v>
      </c>
      <c r="D152" s="343"/>
      <c r="E152" s="495" t="s">
        <v>83</v>
      </c>
      <c r="F152" s="335"/>
      <c r="G152" s="494" t="s">
        <v>47</v>
      </c>
      <c r="H152" s="532"/>
      <c r="I152" s="532"/>
      <c r="J152" s="532"/>
      <c r="K152" s="457"/>
      <c r="L152" s="457"/>
      <c r="M152" s="457"/>
      <c r="N152" s="457"/>
      <c r="O152" s="458"/>
    </row>
    <row r="153" spans="2:15" ht="18" customHeight="1">
      <c r="B153" s="456"/>
      <c r="C153" s="482" t="s">
        <v>89</v>
      </c>
      <c r="D153" s="343"/>
      <c r="E153" s="495" t="s">
        <v>83</v>
      </c>
      <c r="F153" s="335"/>
      <c r="G153" s="494" t="s">
        <v>47</v>
      </c>
      <c r="H153" s="532"/>
      <c r="I153" s="532"/>
      <c r="J153" s="532"/>
      <c r="K153" s="457"/>
      <c r="L153" s="457"/>
      <c r="M153" s="457"/>
      <c r="N153" s="457"/>
      <c r="O153" s="458"/>
    </row>
    <row r="154" spans="2:15" ht="18" customHeight="1" thickBot="1">
      <c r="B154" s="456"/>
      <c r="C154" s="534" t="s">
        <v>90</v>
      </c>
      <c r="D154" s="345"/>
      <c r="E154" s="497" t="s">
        <v>83</v>
      </c>
      <c r="F154" s="336"/>
      <c r="G154" s="496" t="s">
        <v>47</v>
      </c>
      <c r="H154" s="532"/>
      <c r="I154" s="532"/>
      <c r="J154" s="532"/>
      <c r="K154" s="457"/>
      <c r="L154" s="457"/>
      <c r="M154" s="457"/>
      <c r="N154" s="457"/>
      <c r="O154" s="458"/>
    </row>
    <row r="155" spans="2:15" ht="18" customHeight="1" thickBot="1">
      <c r="B155" s="456"/>
      <c r="C155" s="529"/>
      <c r="D155" s="530"/>
      <c r="E155" s="530"/>
      <c r="F155" s="480"/>
      <c r="G155" s="532"/>
      <c r="H155" s="532"/>
      <c r="I155" s="532"/>
      <c r="J155" s="532"/>
      <c r="K155" s="457"/>
      <c r="L155" s="457"/>
      <c r="M155" s="457"/>
      <c r="N155" s="457"/>
      <c r="O155" s="458"/>
    </row>
    <row r="156" spans="2:15" ht="24" customHeight="1" thickBot="1">
      <c r="B156" s="456"/>
      <c r="C156" s="798" t="s">
        <v>91</v>
      </c>
      <c r="D156" s="799"/>
      <c r="E156" s="800"/>
      <c r="F156" s="479"/>
      <c r="G156" s="535"/>
      <c r="H156" s="535"/>
      <c r="I156" s="535"/>
      <c r="J156" s="535"/>
      <c r="K156" s="457"/>
      <c r="L156" s="457"/>
      <c r="M156" s="457"/>
      <c r="N156" s="457"/>
      <c r="O156" s="458"/>
    </row>
    <row r="157" spans="2:15" ht="18" customHeight="1">
      <c r="B157" s="456"/>
      <c r="C157" s="500" t="s">
        <v>92</v>
      </c>
      <c r="D157" s="351"/>
      <c r="E157" s="531"/>
      <c r="F157" s="536"/>
      <c r="G157" s="535"/>
      <c r="H157" s="535"/>
      <c r="I157" s="535"/>
      <c r="J157" s="535"/>
      <c r="K157" s="457"/>
      <c r="L157" s="457"/>
      <c r="M157" s="457"/>
      <c r="N157" s="457"/>
      <c r="O157" s="458"/>
    </row>
    <row r="158" spans="2:15" ht="18" customHeight="1" thickBot="1">
      <c r="B158" s="456"/>
      <c r="C158" s="496" t="s">
        <v>93</v>
      </c>
      <c r="D158" s="350"/>
      <c r="E158" s="482"/>
      <c r="F158" s="536"/>
      <c r="G158" s="535"/>
      <c r="H158" s="535"/>
      <c r="I158" s="535"/>
      <c r="J158" s="535"/>
      <c r="K158" s="457"/>
      <c r="L158" s="457"/>
      <c r="M158" s="457"/>
      <c r="N158" s="457"/>
      <c r="O158" s="458"/>
    </row>
    <row r="159" spans="2:15" ht="18" customHeight="1" thickBot="1">
      <c r="B159" s="456"/>
      <c r="C159" s="529"/>
      <c r="D159" s="537"/>
      <c r="E159" s="537"/>
      <c r="F159" s="480"/>
      <c r="G159" s="535"/>
      <c r="H159" s="535"/>
      <c r="I159" s="535"/>
      <c r="J159" s="535"/>
      <c r="K159" s="457"/>
      <c r="L159" s="457"/>
      <c r="M159" s="457"/>
      <c r="N159" s="457"/>
      <c r="O159" s="458"/>
    </row>
    <row r="160" spans="2:15" ht="24" thickBot="1">
      <c r="B160" s="456"/>
      <c r="C160" s="798" t="s">
        <v>94</v>
      </c>
      <c r="D160" s="799"/>
      <c r="E160" s="799"/>
      <c r="F160" s="488"/>
      <c r="G160" s="479"/>
      <c r="H160" s="457"/>
      <c r="I160" s="457"/>
      <c r="J160" s="535"/>
      <c r="K160" s="457"/>
      <c r="L160" s="457"/>
      <c r="M160" s="457"/>
      <c r="N160" s="457"/>
      <c r="O160" s="458"/>
    </row>
    <row r="161" spans="2:15" ht="126" customHeight="1" thickBot="1">
      <c r="B161" s="456"/>
      <c r="C161" s="538" t="s">
        <v>95</v>
      </c>
      <c r="D161" s="538" t="s">
        <v>96</v>
      </c>
      <c r="E161" s="539" t="s">
        <v>97</v>
      </c>
      <c r="F161" s="540" t="s">
        <v>98</v>
      </c>
      <c r="G161" s="541"/>
      <c r="H161" s="470"/>
      <c r="I161" s="542"/>
      <c r="J161" s="535"/>
      <c r="K161" s="457"/>
      <c r="L161" s="457"/>
      <c r="M161" s="457"/>
      <c r="N161" s="457"/>
      <c r="O161" s="458"/>
    </row>
    <row r="162" spans="2:15" ht="18" customHeight="1">
      <c r="B162" s="456"/>
      <c r="C162" s="359" t="s">
        <v>43</v>
      </c>
      <c r="D162" s="359" t="s">
        <v>43</v>
      </c>
      <c r="E162" s="356"/>
      <c r="F162" s="352"/>
      <c r="G162" s="543"/>
      <c r="H162" s="544"/>
      <c r="I162" s="544"/>
      <c r="J162" s="535"/>
      <c r="K162" s="457"/>
      <c r="L162" s="457"/>
      <c r="M162" s="457"/>
      <c r="N162" s="457"/>
      <c r="O162" s="458"/>
    </row>
    <row r="163" spans="2:15" ht="18" customHeight="1">
      <c r="B163" s="456"/>
      <c r="C163" s="343" t="s">
        <v>43</v>
      </c>
      <c r="D163" s="343" t="s">
        <v>43</v>
      </c>
      <c r="E163" s="357"/>
      <c r="F163" s="355"/>
      <c r="G163" s="543"/>
      <c r="H163" s="544"/>
      <c r="I163" s="544"/>
      <c r="J163" s="535"/>
      <c r="K163" s="457"/>
      <c r="L163" s="457"/>
      <c r="M163" s="457"/>
      <c r="N163" s="457"/>
      <c r="O163" s="458"/>
    </row>
    <row r="164" spans="2:15" ht="18" customHeight="1">
      <c r="B164" s="456"/>
      <c r="C164" s="344" t="s">
        <v>43</v>
      </c>
      <c r="D164" s="344" t="s">
        <v>43</v>
      </c>
      <c r="E164" s="358"/>
      <c r="F164" s="353"/>
      <c r="G164" s="543"/>
      <c r="H164" s="544"/>
      <c r="I164" s="544"/>
      <c r="J164" s="535"/>
      <c r="K164" s="457"/>
      <c r="L164" s="457"/>
      <c r="M164" s="457"/>
      <c r="N164" s="457"/>
      <c r="O164" s="458"/>
    </row>
    <row r="165" spans="2:15" ht="18" customHeight="1">
      <c r="B165" s="456"/>
      <c r="C165" s="343" t="s">
        <v>43</v>
      </c>
      <c r="D165" s="343" t="s">
        <v>43</v>
      </c>
      <c r="E165" s="357"/>
      <c r="F165" s="355"/>
      <c r="G165" s="543"/>
      <c r="H165" s="544"/>
      <c r="I165" s="544"/>
      <c r="J165" s="535"/>
      <c r="K165" s="457"/>
      <c r="L165" s="457"/>
      <c r="M165" s="457"/>
      <c r="N165" s="457"/>
      <c r="O165" s="458"/>
    </row>
    <row r="166" spans="2:15" ht="18" customHeight="1">
      <c r="B166" s="456"/>
      <c r="C166" s="344" t="s">
        <v>43</v>
      </c>
      <c r="D166" s="344" t="s">
        <v>43</v>
      </c>
      <c r="E166" s="358"/>
      <c r="F166" s="353"/>
      <c r="G166" s="543"/>
      <c r="H166" s="544"/>
      <c r="I166" s="544"/>
      <c r="J166" s="535"/>
      <c r="K166" s="457"/>
      <c r="L166" s="457"/>
      <c r="M166" s="457"/>
      <c r="N166" s="457"/>
      <c r="O166" s="458"/>
    </row>
    <row r="167" spans="2:15" ht="18" customHeight="1">
      <c r="B167" s="456"/>
      <c r="C167" s="343" t="s">
        <v>43</v>
      </c>
      <c r="D167" s="343" t="s">
        <v>43</v>
      </c>
      <c r="E167" s="357"/>
      <c r="F167" s="355"/>
      <c r="G167" s="482"/>
      <c r="H167" s="480"/>
      <c r="I167" s="542"/>
      <c r="J167" s="535"/>
      <c r="K167" s="457"/>
      <c r="L167" s="457"/>
      <c r="M167" s="457"/>
      <c r="N167" s="457"/>
      <c r="O167" s="458"/>
    </row>
    <row r="168" spans="2:15" ht="18" customHeight="1" thickBot="1">
      <c r="B168" s="456"/>
      <c r="C168" s="345" t="s">
        <v>43</v>
      </c>
      <c r="D168" s="345" t="s">
        <v>43</v>
      </c>
      <c r="E168" s="360"/>
      <c r="F168" s="354"/>
      <c r="G168" s="456"/>
      <c r="H168" s="457"/>
      <c r="I168" s="457"/>
      <c r="J168" s="535"/>
      <c r="K168" s="457"/>
      <c r="L168" s="457"/>
      <c r="M168" s="457"/>
      <c r="N168" s="457"/>
      <c r="O168" s="458"/>
    </row>
    <row r="169" spans="2:15" ht="15" customHeight="1" thickBot="1">
      <c r="B169" s="460"/>
      <c r="C169" s="545"/>
      <c r="D169" s="546"/>
      <c r="E169" s="545"/>
      <c r="F169" s="461"/>
      <c r="G169" s="547"/>
      <c r="H169" s="547"/>
      <c r="I169" s="547"/>
      <c r="J169" s="547"/>
      <c r="K169" s="461"/>
      <c r="L169" s="461"/>
      <c r="M169" s="461"/>
      <c r="N169" s="461"/>
      <c r="O169" s="462"/>
    </row>
    <row r="170" spans="2:15" ht="15" hidden="1" customHeight="1" thickBot="1">
      <c r="B170" s="456"/>
      <c r="C170" s="546"/>
      <c r="D170" s="545"/>
      <c r="E170" s="545"/>
      <c r="F170" s="457"/>
      <c r="G170" s="535"/>
      <c r="H170" s="535"/>
      <c r="I170" s="535"/>
      <c r="J170" s="535"/>
      <c r="K170" s="457"/>
      <c r="L170" s="457"/>
      <c r="M170" s="457"/>
      <c r="N170" s="457"/>
      <c r="O170" s="458"/>
    </row>
    <row r="171" spans="2:15" ht="15" hidden="1" thickBot="1">
      <c r="B171" s="456"/>
      <c r="C171" s="842" t="s">
        <v>99</v>
      </c>
      <c r="D171" s="843"/>
      <c r="E171" s="844"/>
      <c r="F171" s="457"/>
      <c r="G171" s="457"/>
      <c r="H171" s="457"/>
      <c r="I171" s="457"/>
      <c r="J171" s="457"/>
      <c r="K171" s="457"/>
      <c r="L171" s="457"/>
      <c r="M171" s="457"/>
      <c r="N171" s="457"/>
      <c r="O171" s="458"/>
    </row>
    <row r="172" spans="2:15" hidden="1">
      <c r="B172" s="456"/>
      <c r="C172" s="548" t="s">
        <v>100</v>
      </c>
      <c r="D172" s="549">
        <f>H225</f>
        <v>0</v>
      </c>
      <c r="E172" s="455" t="s">
        <v>8</v>
      </c>
      <c r="F172" s="457"/>
      <c r="G172" s="478"/>
      <c r="H172" s="457"/>
      <c r="I172" s="457"/>
      <c r="J172" s="457"/>
      <c r="K172" s="457"/>
      <c r="L172" s="457"/>
      <c r="M172" s="457"/>
      <c r="N172" s="457"/>
      <c r="O172" s="458"/>
    </row>
    <row r="173" spans="2:15" ht="15" hidden="1" thickBot="1">
      <c r="B173" s="456"/>
      <c r="C173" s="550" t="s">
        <v>101</v>
      </c>
      <c r="D173" s="551">
        <f>G225</f>
        <v>0</v>
      </c>
      <c r="E173" s="462" t="s">
        <v>8</v>
      </c>
      <c r="F173" s="457"/>
      <c r="G173" s="478"/>
      <c r="H173" s="457"/>
      <c r="I173" s="457"/>
      <c r="J173" s="457"/>
      <c r="K173" s="457"/>
      <c r="L173" s="457"/>
      <c r="M173" s="457"/>
      <c r="N173" s="457"/>
      <c r="O173" s="458"/>
    </row>
    <row r="174" spans="2:15" hidden="1">
      <c r="B174" s="456"/>
      <c r="C174" s="457"/>
      <c r="D174" s="473"/>
      <c r="E174" s="457"/>
      <c r="F174" s="457"/>
      <c r="G174" s="478"/>
      <c r="H174" s="457"/>
      <c r="I174" s="457"/>
      <c r="J174" s="457"/>
      <c r="K174" s="457"/>
      <c r="L174" s="457"/>
      <c r="M174" s="457"/>
      <c r="N174" s="457"/>
      <c r="O174" s="458"/>
    </row>
    <row r="175" spans="2:15" ht="15" hidden="1" thickBot="1">
      <c r="B175" s="456"/>
      <c r="C175" s="457"/>
      <c r="D175" s="473"/>
      <c r="E175" s="457"/>
      <c r="F175" s="457"/>
      <c r="G175" s="457"/>
      <c r="H175" s="457"/>
      <c r="I175" s="457"/>
      <c r="J175" s="457"/>
      <c r="K175" s="457"/>
      <c r="L175" s="457"/>
      <c r="M175" s="457"/>
      <c r="N175" s="457"/>
      <c r="O175" s="458"/>
    </row>
    <row r="176" spans="2:15" ht="15" hidden="1" thickBot="1">
      <c r="B176" s="456"/>
      <c r="C176" s="795" t="s">
        <v>102</v>
      </c>
      <c r="D176" s="796"/>
      <c r="E176" s="797"/>
      <c r="F176" s="457"/>
      <c r="G176" s="457"/>
      <c r="H176" s="457"/>
      <c r="I176" s="457"/>
      <c r="J176" s="457"/>
      <c r="K176" s="457"/>
      <c r="L176" s="457"/>
      <c r="M176" s="457"/>
      <c r="N176" s="457"/>
      <c r="O176" s="458"/>
    </row>
    <row r="177" spans="2:15" ht="15" hidden="1" thickBot="1">
      <c r="B177" s="456"/>
      <c r="C177" s="552" t="s">
        <v>103</v>
      </c>
      <c r="D177" s="553">
        <f>SUM(C228:C234)</f>
        <v>0</v>
      </c>
      <c r="E177" s="554" t="s">
        <v>8</v>
      </c>
      <c r="F177" s="457"/>
      <c r="G177" s="457"/>
      <c r="H177" s="457"/>
      <c r="I177" s="457"/>
      <c r="J177" s="457"/>
      <c r="K177" s="457"/>
      <c r="L177" s="457"/>
      <c r="M177" s="457"/>
      <c r="N177" s="457"/>
      <c r="O177" s="458"/>
    </row>
    <row r="178" spans="2:15" hidden="1">
      <c r="B178" s="456"/>
      <c r="C178" s="457"/>
      <c r="D178" s="473"/>
      <c r="E178" s="457"/>
      <c r="F178" s="457"/>
      <c r="G178" s="555"/>
      <c r="H178" s="457"/>
      <c r="I178" s="457"/>
      <c r="J178" s="457"/>
      <c r="K178" s="457"/>
      <c r="L178" s="457"/>
      <c r="M178" s="457"/>
      <c r="N178" s="457"/>
      <c r="O178" s="458"/>
    </row>
    <row r="179" spans="2:15" ht="15" hidden="1" thickBot="1">
      <c r="B179" s="456"/>
      <c r="C179" s="457"/>
      <c r="D179" s="556"/>
      <c r="E179" s="457"/>
      <c r="F179" s="457"/>
      <c r="G179" s="457"/>
      <c r="H179" s="457"/>
      <c r="I179" s="457"/>
      <c r="J179" s="457"/>
      <c r="K179" s="457"/>
      <c r="L179" s="457"/>
      <c r="M179" s="457"/>
      <c r="N179" s="457"/>
      <c r="O179" s="458"/>
    </row>
    <row r="180" spans="2:15" ht="15" hidden="1" thickBot="1">
      <c r="B180" s="456"/>
      <c r="C180" s="795" t="s">
        <v>104</v>
      </c>
      <c r="D180" s="796"/>
      <c r="E180" s="797"/>
      <c r="F180" s="457"/>
      <c r="G180" s="457"/>
      <c r="H180" s="457"/>
      <c r="I180" s="457"/>
      <c r="J180" s="457"/>
      <c r="K180" s="457"/>
      <c r="L180" s="457"/>
      <c r="M180" s="457"/>
      <c r="N180" s="457"/>
      <c r="O180" s="458"/>
    </row>
    <row r="181" spans="2:15" ht="15" hidden="1" thickBot="1">
      <c r="B181" s="456"/>
      <c r="C181" s="552" t="s">
        <v>105</v>
      </c>
      <c r="D181" s="557">
        <f>D210*D157</f>
        <v>0</v>
      </c>
      <c r="E181" s="554" t="s">
        <v>8</v>
      </c>
      <c r="F181" s="457"/>
      <c r="G181" s="457"/>
      <c r="H181" s="457"/>
      <c r="I181" s="457"/>
      <c r="J181" s="457"/>
      <c r="K181" s="457"/>
      <c r="L181" s="457"/>
      <c r="M181" s="457"/>
      <c r="N181" s="457"/>
      <c r="O181" s="458"/>
    </row>
    <row r="182" spans="2:15" hidden="1">
      <c r="B182" s="456"/>
      <c r="C182" s="457"/>
      <c r="D182" s="473"/>
      <c r="E182" s="457"/>
      <c r="F182" s="457"/>
      <c r="G182" s="457"/>
      <c r="H182" s="457"/>
      <c r="I182" s="457"/>
      <c r="J182" s="457"/>
      <c r="K182" s="457"/>
      <c r="L182" s="457"/>
      <c r="M182" s="457"/>
      <c r="N182" s="457"/>
      <c r="O182" s="458"/>
    </row>
    <row r="183" spans="2:15" ht="15" hidden="1" thickBot="1">
      <c r="B183" s="456"/>
      <c r="C183" s="457"/>
      <c r="D183" s="473"/>
      <c r="E183" s="457"/>
      <c r="F183" s="457"/>
      <c r="G183" s="457"/>
      <c r="H183" s="457"/>
      <c r="I183" s="457"/>
      <c r="J183" s="457"/>
      <c r="K183" s="457"/>
      <c r="L183" s="457"/>
      <c r="M183" s="457"/>
      <c r="N183" s="457"/>
      <c r="O183" s="458"/>
    </row>
    <row r="184" spans="2:15" ht="15" hidden="1" thickBot="1">
      <c r="B184" s="456"/>
      <c r="C184" s="795" t="s">
        <v>106</v>
      </c>
      <c r="D184" s="796"/>
      <c r="E184" s="797"/>
      <c r="F184" s="457"/>
      <c r="G184" s="457"/>
      <c r="H184" s="457"/>
      <c r="I184" s="457"/>
      <c r="J184" s="457"/>
      <c r="K184" s="457"/>
      <c r="L184" s="457"/>
      <c r="M184" s="457"/>
      <c r="N184" s="457"/>
      <c r="O184" s="458"/>
    </row>
    <row r="185" spans="2:15" ht="15" hidden="1" thickBot="1">
      <c r="B185" s="456"/>
      <c r="C185" s="552" t="s">
        <v>107</v>
      </c>
      <c r="D185" s="558">
        <f>Tausta_Liikematkat!C2</f>
        <v>0</v>
      </c>
      <c r="E185" s="552" t="s">
        <v>8</v>
      </c>
      <c r="F185" s="457"/>
      <c r="G185" s="457"/>
      <c r="H185" s="457"/>
      <c r="I185" s="457"/>
      <c r="J185" s="457"/>
      <c r="K185" s="457"/>
      <c r="L185" s="457"/>
      <c r="M185" s="457"/>
      <c r="N185" s="457"/>
      <c r="O185" s="458"/>
    </row>
    <row r="186" spans="2:15" ht="15" hidden="1" thickBot="1">
      <c r="B186" s="456"/>
      <c r="C186" s="457"/>
      <c r="D186" s="473"/>
      <c r="E186" s="457"/>
      <c r="F186" s="457"/>
      <c r="G186" s="457"/>
      <c r="H186" s="457"/>
      <c r="I186" s="457"/>
      <c r="J186" s="457"/>
      <c r="K186" s="457"/>
      <c r="L186" s="457"/>
      <c r="M186" s="457"/>
      <c r="N186" s="457"/>
      <c r="O186" s="458"/>
    </row>
    <row r="187" spans="2:15" ht="15" hidden="1" thickBot="1">
      <c r="B187" s="456"/>
      <c r="C187" s="795" t="s">
        <v>108</v>
      </c>
      <c r="D187" s="796"/>
      <c r="E187" s="797"/>
      <c r="F187" s="457"/>
      <c r="G187" s="457"/>
      <c r="H187" s="457"/>
      <c r="I187" s="457"/>
      <c r="J187" s="457"/>
      <c r="K187" s="457"/>
      <c r="L187" s="457"/>
      <c r="M187" s="457"/>
      <c r="N187" s="457"/>
      <c r="O187" s="458"/>
    </row>
    <row r="188" spans="2:15" ht="15" hidden="1" thickBot="1">
      <c r="B188" s="456"/>
      <c r="C188" s="552" t="s">
        <v>109</v>
      </c>
      <c r="D188" s="557">
        <f>Tausta_Tapahtumat!J98</f>
        <v>0</v>
      </c>
      <c r="E188" s="552" t="s">
        <v>8</v>
      </c>
      <c r="F188" s="457"/>
      <c r="G188" s="457"/>
      <c r="H188" s="457"/>
      <c r="I188" s="457"/>
      <c r="J188" s="457"/>
      <c r="K188" s="457"/>
      <c r="L188" s="457"/>
      <c r="M188" s="457"/>
      <c r="N188" s="457"/>
      <c r="O188" s="458"/>
    </row>
    <row r="189" spans="2:15" ht="15" hidden="1" thickBot="1">
      <c r="B189" s="456"/>
      <c r="C189" s="457"/>
      <c r="D189" s="473"/>
      <c r="E189" s="457"/>
      <c r="F189" s="457"/>
      <c r="G189" s="457"/>
      <c r="H189" s="457"/>
      <c r="I189" s="457"/>
      <c r="J189" s="457"/>
      <c r="K189" s="457"/>
      <c r="L189" s="457"/>
      <c r="M189" s="457"/>
      <c r="N189" s="457"/>
      <c r="O189" s="458"/>
    </row>
    <row r="190" spans="2:15" ht="15" hidden="1" thickBot="1">
      <c r="B190" s="456"/>
      <c r="C190" s="795" t="s">
        <v>110</v>
      </c>
      <c r="D190" s="796"/>
      <c r="E190" s="797"/>
      <c r="F190" s="457"/>
      <c r="G190" s="457"/>
      <c r="H190" s="457"/>
      <c r="I190" s="457"/>
      <c r="J190" s="457"/>
      <c r="K190" s="457"/>
      <c r="L190" s="457"/>
      <c r="M190" s="457"/>
      <c r="N190" s="457"/>
      <c r="O190" s="458"/>
    </row>
    <row r="191" spans="2:15" ht="15" hidden="1" thickBot="1">
      <c r="B191" s="456"/>
      <c r="C191" s="552" t="s">
        <v>111</v>
      </c>
      <c r="D191" s="557">
        <f>IF(D46="kyllä",Jätteet_Lajiteltu!C17,Jätteet_Poltto!C17)</f>
        <v>0</v>
      </c>
      <c r="E191" s="552" t="s">
        <v>8</v>
      </c>
      <c r="F191" s="457"/>
      <c r="G191" s="457"/>
      <c r="H191" s="457"/>
      <c r="I191" s="457"/>
      <c r="J191" s="457"/>
      <c r="K191" s="457"/>
      <c r="L191" s="457"/>
      <c r="M191" s="457"/>
      <c r="N191" s="457"/>
      <c r="O191" s="458"/>
    </row>
    <row r="192" spans="2:15" ht="15" hidden="1" thickBot="1">
      <c r="B192" s="456"/>
      <c r="C192" s="457"/>
      <c r="D192" s="473"/>
      <c r="E192" s="457"/>
      <c r="F192" s="457"/>
      <c r="G192" s="457"/>
      <c r="H192" s="457"/>
      <c r="I192" s="457"/>
      <c r="J192" s="457"/>
      <c r="K192" s="457"/>
      <c r="L192" s="457"/>
      <c r="M192" s="457"/>
      <c r="N192" s="457"/>
      <c r="O192" s="458"/>
    </row>
    <row r="193" spans="2:15" ht="15" hidden="1" thickBot="1">
      <c r="B193" s="456"/>
      <c r="C193" s="795" t="s">
        <v>112</v>
      </c>
      <c r="D193" s="796"/>
      <c r="E193" s="797"/>
      <c r="F193" s="457"/>
      <c r="G193" s="457"/>
      <c r="H193" s="457"/>
      <c r="I193" s="457"/>
      <c r="J193" s="457"/>
      <c r="K193" s="457"/>
      <c r="L193" s="457"/>
      <c r="M193" s="457"/>
      <c r="N193" s="457"/>
      <c r="O193" s="458"/>
    </row>
    <row r="194" spans="2:15" ht="15" hidden="1" thickBot="1">
      <c r="B194" s="456"/>
      <c r="C194" s="552" t="s">
        <v>113</v>
      </c>
      <c r="D194" s="559">
        <f>Tausta_Hankinnat!B2</f>
        <v>0</v>
      </c>
      <c r="E194" s="552" t="s">
        <v>8</v>
      </c>
      <c r="F194" s="457"/>
      <c r="G194" s="457"/>
      <c r="H194" s="457"/>
      <c r="I194" s="457"/>
      <c r="J194" s="457"/>
      <c r="K194" s="457"/>
      <c r="L194" s="457"/>
      <c r="M194" s="457"/>
      <c r="N194" s="457"/>
      <c r="O194" s="458"/>
    </row>
    <row r="195" spans="2:15" ht="15" hidden="1" thickBot="1">
      <c r="B195" s="456"/>
      <c r="C195" s="457"/>
      <c r="D195" s="473"/>
      <c r="E195" s="457"/>
      <c r="F195" s="457"/>
      <c r="G195" s="457"/>
      <c r="H195" s="457"/>
      <c r="I195" s="457"/>
      <c r="J195" s="457"/>
      <c r="K195" s="457"/>
      <c r="L195" s="457"/>
      <c r="M195" s="457"/>
      <c r="N195" s="457"/>
      <c r="O195" s="458"/>
    </row>
    <row r="196" spans="2:15" ht="15" hidden="1" thickBot="1">
      <c r="B196" s="456"/>
      <c r="C196" s="795" t="s">
        <v>114</v>
      </c>
      <c r="D196" s="796"/>
      <c r="E196" s="797"/>
      <c r="F196" s="457"/>
      <c r="G196" s="457"/>
      <c r="H196" s="457"/>
      <c r="I196" s="457"/>
      <c r="J196" s="457"/>
      <c r="K196" s="457"/>
      <c r="L196" s="457"/>
      <c r="M196" s="457"/>
      <c r="N196" s="457"/>
      <c r="O196" s="458"/>
    </row>
    <row r="197" spans="2:15" ht="15" hidden="1" thickBot="1">
      <c r="B197" s="456"/>
      <c r="C197" s="552" t="s">
        <v>115</v>
      </c>
      <c r="D197" s="559">
        <f>Tausta_Hankinnat!B3</f>
        <v>0</v>
      </c>
      <c r="E197" s="552" t="s">
        <v>8</v>
      </c>
      <c r="F197" s="457"/>
      <c r="G197" s="457"/>
      <c r="H197" s="457"/>
      <c r="I197" s="457"/>
      <c r="J197" s="457"/>
      <c r="K197" s="457"/>
      <c r="L197" s="457"/>
      <c r="M197" s="457"/>
      <c r="N197" s="457"/>
      <c r="O197" s="458"/>
    </row>
    <row r="198" spans="2:15" ht="15" hidden="1" thickBot="1">
      <c r="B198" s="456"/>
      <c r="C198" s="457"/>
      <c r="D198" s="560"/>
      <c r="E198" s="457"/>
      <c r="F198" s="457"/>
      <c r="G198" s="457"/>
      <c r="H198" s="457"/>
      <c r="I198" s="457"/>
      <c r="J198" s="457"/>
      <c r="K198" s="457"/>
      <c r="L198" s="457"/>
      <c r="M198" s="457"/>
      <c r="N198" s="457"/>
      <c r="O198" s="458"/>
    </row>
    <row r="199" spans="2:15" ht="15" hidden="1" thickBot="1">
      <c r="B199" s="456"/>
      <c r="C199" s="795" t="s">
        <v>116</v>
      </c>
      <c r="D199" s="796"/>
      <c r="E199" s="797"/>
      <c r="F199" s="457"/>
      <c r="G199" s="457"/>
      <c r="H199" s="457"/>
      <c r="I199" s="457"/>
      <c r="J199" s="457"/>
      <c r="K199" s="457"/>
      <c r="L199" s="457"/>
      <c r="M199" s="457"/>
      <c r="N199" s="457"/>
      <c r="O199" s="458"/>
    </row>
    <row r="200" spans="2:15" ht="15" hidden="1" thickBot="1">
      <c r="B200" s="456"/>
      <c r="C200" s="552" t="s">
        <v>117</v>
      </c>
      <c r="D200" s="559">
        <f>Tausta_Hankinnat!B5</f>
        <v>0</v>
      </c>
      <c r="E200" s="552" t="s">
        <v>8</v>
      </c>
      <c r="F200" s="457"/>
      <c r="G200" s="457"/>
      <c r="H200" s="457"/>
      <c r="I200" s="457"/>
      <c r="J200" s="457"/>
      <c r="K200" s="457"/>
      <c r="L200" s="457"/>
      <c r="M200" s="457"/>
      <c r="N200" s="457"/>
      <c r="O200" s="458"/>
    </row>
    <row r="201" spans="2:15" ht="15" hidden="1" thickBot="1">
      <c r="B201" s="456"/>
      <c r="C201" s="457"/>
      <c r="D201" s="560"/>
      <c r="E201" s="457"/>
      <c r="F201" s="457"/>
      <c r="G201" s="457"/>
      <c r="H201" s="457"/>
      <c r="I201" s="457"/>
      <c r="J201" s="457"/>
      <c r="K201" s="457"/>
      <c r="L201" s="457"/>
      <c r="M201" s="457"/>
      <c r="N201" s="457"/>
      <c r="O201" s="458"/>
    </row>
    <row r="202" spans="2:15" ht="15" hidden="1" thickBot="1">
      <c r="B202" s="456"/>
      <c r="C202" s="795" t="s">
        <v>118</v>
      </c>
      <c r="D202" s="796"/>
      <c r="E202" s="797"/>
      <c r="F202" s="457"/>
      <c r="G202" s="457"/>
      <c r="H202" s="457"/>
      <c r="I202" s="457"/>
      <c r="J202" s="457"/>
      <c r="K202" s="457"/>
      <c r="L202" s="457"/>
      <c r="M202" s="457"/>
      <c r="N202" s="457"/>
      <c r="O202" s="458"/>
    </row>
    <row r="203" spans="2:15" ht="15" hidden="1" thickBot="1">
      <c r="B203" s="456"/>
      <c r="C203" s="552" t="s">
        <v>119</v>
      </c>
      <c r="D203" s="559">
        <f>Tausta_Hankinnat!B4</f>
        <v>0</v>
      </c>
      <c r="E203" s="552" t="s">
        <v>8</v>
      </c>
      <c r="F203" s="457"/>
      <c r="G203" s="457"/>
      <c r="H203" s="457"/>
      <c r="I203" s="457"/>
      <c r="J203" s="457"/>
      <c r="K203" s="457"/>
      <c r="L203" s="457"/>
      <c r="M203" s="457"/>
      <c r="N203" s="457"/>
      <c r="O203" s="458"/>
    </row>
    <row r="204" spans="2:15" ht="15" hidden="1" thickBot="1">
      <c r="B204" s="456"/>
      <c r="C204" s="457"/>
      <c r="D204" s="560"/>
      <c r="E204" s="457"/>
      <c r="F204" s="457"/>
      <c r="G204" s="457"/>
      <c r="H204" s="457"/>
      <c r="I204" s="457"/>
      <c r="J204" s="457"/>
      <c r="K204" s="457"/>
      <c r="L204" s="457"/>
      <c r="M204" s="457"/>
      <c r="N204" s="457"/>
      <c r="O204" s="458"/>
    </row>
    <row r="205" spans="2:15" ht="15" hidden="1" thickBot="1">
      <c r="B205" s="456"/>
      <c r="C205" s="795" t="s">
        <v>120</v>
      </c>
      <c r="D205" s="796"/>
      <c r="E205" s="797"/>
      <c r="F205" s="457"/>
      <c r="G205" s="457"/>
      <c r="H205" s="457"/>
      <c r="I205" s="457"/>
      <c r="J205" s="457"/>
      <c r="K205" s="457"/>
      <c r="L205" s="457"/>
      <c r="M205" s="457"/>
      <c r="N205" s="457"/>
      <c r="O205" s="458"/>
    </row>
    <row r="206" spans="2:15" ht="15" hidden="1" thickBot="1">
      <c r="B206" s="456"/>
      <c r="C206" s="561" t="s">
        <v>121</v>
      </c>
      <c r="D206" s="562">
        <f>Tausta_Tapahtumat!B2</f>
        <v>0</v>
      </c>
      <c r="E206" s="563" t="s">
        <v>8</v>
      </c>
      <c r="F206" s="457"/>
      <c r="G206" s="457"/>
      <c r="H206" s="457"/>
      <c r="I206" s="457"/>
      <c r="J206" s="457"/>
      <c r="K206" s="457"/>
      <c r="L206" s="457"/>
      <c r="M206" s="457"/>
      <c r="N206" s="457"/>
      <c r="O206" s="458"/>
    </row>
    <row r="207" spans="2:15" ht="15" hidden="1" thickBot="1">
      <c r="B207" s="460"/>
      <c r="C207" s="461"/>
      <c r="D207" s="477"/>
      <c r="E207" s="461"/>
      <c r="F207" s="461"/>
      <c r="G207" s="461"/>
      <c r="H207" s="461"/>
      <c r="I207" s="461"/>
      <c r="J207" s="461"/>
      <c r="K207" s="461"/>
      <c r="L207" s="461"/>
      <c r="M207" s="461"/>
      <c r="N207" s="461"/>
      <c r="O207" s="462"/>
    </row>
    <row r="208" spans="2:15" hidden="1">
      <c r="B208" s="457"/>
      <c r="C208" s="457"/>
      <c r="D208" s="473"/>
      <c r="E208" s="457"/>
      <c r="F208" s="457"/>
      <c r="G208" s="457"/>
      <c r="H208" s="457"/>
      <c r="I208" s="457"/>
      <c r="J208" s="457"/>
      <c r="K208" s="457"/>
      <c r="L208" s="457"/>
      <c r="M208" s="457"/>
      <c r="N208" s="457"/>
      <c r="O208" s="457"/>
    </row>
    <row r="209" spans="3:8" hidden="1">
      <c r="C209" s="450" t="s">
        <v>122</v>
      </c>
    </row>
    <row r="210" spans="3:8" hidden="1">
      <c r="C210" s="450" t="s">
        <v>123</v>
      </c>
      <c r="D210" s="564">
        <f>D158*Tausta_Työmatkat!C2</f>
        <v>0</v>
      </c>
      <c r="E210" s="450" t="s">
        <v>124</v>
      </c>
    </row>
    <row r="211" spans="3:8" hidden="1"/>
    <row r="212" spans="3:8" hidden="1"/>
    <row r="213" spans="3:8" hidden="1"/>
    <row r="214" spans="3:8" hidden="1">
      <c r="D214" s="564"/>
    </row>
    <row r="215" spans="3:8" hidden="1">
      <c r="D215" s="565"/>
    </row>
    <row r="216" spans="3:8" ht="15" hidden="1" thickBot="1"/>
    <row r="217" spans="3:8" ht="15" hidden="1" thickBot="1">
      <c r="C217" s="566" t="s">
        <v>125</v>
      </c>
      <c r="D217" s="567" t="s">
        <v>126</v>
      </c>
      <c r="E217" s="568" t="s">
        <v>127</v>
      </c>
      <c r="F217" s="569" t="s">
        <v>128</v>
      </c>
      <c r="G217" s="570" t="s">
        <v>129</v>
      </c>
      <c r="H217" s="571" t="s">
        <v>130</v>
      </c>
    </row>
    <row r="218" spans="3:8" hidden="1">
      <c r="C218" s="572">
        <f>IF(G103="kyllä", I103*1000/C103, VLOOKUP("Seura- tai kerhorakennus", Tausta_Energia!$B$33:$D$39, 3,FALSE))</f>
        <v>143.39999999999998</v>
      </c>
      <c r="D218" s="573">
        <f>C218*VLOOKUP(E103, Tausta_Energia!$B$48:$C$57, 2,FALSE)/1000</f>
        <v>0</v>
      </c>
      <c r="E218" s="574">
        <f>IF(F103="kyllä", H103/C103, VLOOKUP("Seura- tai kerhorakennus", Tausta_Energia!$B$33:$D$39, 2,FALSE))</f>
        <v>34.200000000000003</v>
      </c>
      <c r="F218" s="575">
        <f>E218*VLOOKUP(D103,Tausta_Energia!$B$42:$C$45,2,0)/1000</f>
        <v>0</v>
      </c>
      <c r="G218" s="576">
        <f t="shared" ref="G218:G224" si="0">D218*C103</f>
        <v>0</v>
      </c>
      <c r="H218" s="577">
        <f t="shared" ref="H218:H224" si="1">F218*C103</f>
        <v>0</v>
      </c>
    </row>
    <row r="219" spans="3:8" hidden="1">
      <c r="C219" s="578">
        <f>IF(G104="kyllä", I104*1000/C104, VLOOKUP("Seura- tai kerhorakennus", Tausta_Energia!$B$33:$D$39, 3,FALSE))</f>
        <v>143.39999999999998</v>
      </c>
      <c r="D219" s="579">
        <f>C219*VLOOKUP(E104, Tausta_Energia!$B$48:$C$57, 2,FALSE)/1000</f>
        <v>0</v>
      </c>
      <c r="E219" s="580">
        <f>IF(F104="kyllä", H104/C104, VLOOKUP("Seura- tai kerhorakennus", Tausta_Energia!$B$33:$D$39, 2,FALSE))</f>
        <v>34.200000000000003</v>
      </c>
      <c r="F219" s="581">
        <f>E219*VLOOKUP(D104,Tausta_Energia!$B$42:$C$45,2,0)/1000</f>
        <v>0</v>
      </c>
      <c r="G219" s="576">
        <f t="shared" si="0"/>
        <v>0</v>
      </c>
      <c r="H219" s="577">
        <f t="shared" si="1"/>
        <v>0</v>
      </c>
    </row>
    <row r="220" spans="3:8" hidden="1">
      <c r="C220" s="578">
        <f>IF(G105="kyllä", I105*1000/C105, VLOOKUP("Seura- tai kerhorakennus", Tausta_Energia!$B$33:$D$39, 3,FALSE))</f>
        <v>143.39999999999998</v>
      </c>
      <c r="D220" s="579">
        <f>C220*VLOOKUP(E105, Tausta_Energia!$B$48:$C$57, 2,FALSE)/1000</f>
        <v>0</v>
      </c>
      <c r="E220" s="580">
        <f>IF(F105="kyllä", H105/C105, VLOOKUP("Seura- tai kerhorakennus", Tausta_Energia!$B$33:$D$39, 2,FALSE))</f>
        <v>34.200000000000003</v>
      </c>
      <c r="F220" s="581">
        <f>E220*VLOOKUP(D105,Tausta_Energia!$B$42:$C$45,2,0)/1000</f>
        <v>0</v>
      </c>
      <c r="G220" s="576">
        <f t="shared" si="0"/>
        <v>0</v>
      </c>
      <c r="H220" s="577">
        <f t="shared" si="1"/>
        <v>0</v>
      </c>
    </row>
    <row r="221" spans="3:8" hidden="1">
      <c r="C221" s="578">
        <f>IF(G106="kyllä", I106*1000/C106, VLOOKUP("Seura- tai kerhorakennus", Tausta_Energia!$B$33:$D$39, 3,FALSE))</f>
        <v>143.39999999999998</v>
      </c>
      <c r="D221" s="579">
        <f>C221*VLOOKUP(E106, Tausta_Energia!$B$48:$C$57, 2,FALSE)/1000</f>
        <v>0</v>
      </c>
      <c r="E221" s="580">
        <f>IF(F106="kyllä", H106/C106, VLOOKUP("Seura- tai kerhorakennus", Tausta_Energia!$B$33:$D$39, 2,FALSE))</f>
        <v>34.200000000000003</v>
      </c>
      <c r="F221" s="581">
        <f>E221*VLOOKUP(D106,Tausta_Energia!$B$42:$C$45,2,0)/1000</f>
        <v>0</v>
      </c>
      <c r="G221" s="576">
        <f t="shared" si="0"/>
        <v>0</v>
      </c>
      <c r="H221" s="577">
        <f t="shared" si="1"/>
        <v>0</v>
      </c>
    </row>
    <row r="222" spans="3:8" hidden="1">
      <c r="C222" s="578">
        <f>IF(G107="kyllä", I107*1000/C107, VLOOKUP("Seura- tai kerhorakennus", Tausta_Energia!$B$33:$D$39, 3,FALSE))</f>
        <v>143.39999999999998</v>
      </c>
      <c r="D222" s="579">
        <f>C222*VLOOKUP(E107, Tausta_Energia!$B$48:$C$57, 2,FALSE)/1000</f>
        <v>0</v>
      </c>
      <c r="E222" s="580">
        <f>IF(F107="kyllä", H107/C107, VLOOKUP("Seura- tai kerhorakennus", Tausta_Energia!$B$33:$D$39, 2,FALSE))</f>
        <v>34.200000000000003</v>
      </c>
      <c r="F222" s="581">
        <f>E222*VLOOKUP(D107,Tausta_Energia!$B$42:$C$45,2,0)/1000</f>
        <v>0</v>
      </c>
      <c r="G222" s="576">
        <f t="shared" si="0"/>
        <v>0</v>
      </c>
      <c r="H222" s="577">
        <f t="shared" si="1"/>
        <v>0</v>
      </c>
    </row>
    <row r="223" spans="3:8" hidden="1">
      <c r="C223" s="578">
        <f>IF(G108="kyllä", I108*1000/C108, VLOOKUP("Seura- tai kerhorakennus", Tausta_Energia!$B$33:$D$39, 3,FALSE))</f>
        <v>143.39999999999998</v>
      </c>
      <c r="D223" s="579">
        <f>C223*VLOOKUP(E108, Tausta_Energia!$B$48:$C$57, 2,FALSE)/1000</f>
        <v>0</v>
      </c>
      <c r="E223" s="580">
        <f>IF(F108="kyllä", H108/C108, VLOOKUP("Seura- tai kerhorakennus", Tausta_Energia!$B$33:$D$39, 2,FALSE))</f>
        <v>34.200000000000003</v>
      </c>
      <c r="F223" s="581">
        <f>E223*VLOOKUP(D108,Tausta_Energia!$B$42:$C$45,2,0)/1000</f>
        <v>0</v>
      </c>
      <c r="G223" s="576">
        <f t="shared" si="0"/>
        <v>0</v>
      </c>
      <c r="H223" s="577">
        <f t="shared" si="1"/>
        <v>0</v>
      </c>
    </row>
    <row r="224" spans="3:8" hidden="1">
      <c r="C224" s="578">
        <f>IF(G109="kyllä", I109*1000/C109, VLOOKUP("Seura- tai kerhorakennus", Tausta_Energia!$B$33:$D$39, 3,FALSE))</f>
        <v>143.39999999999998</v>
      </c>
      <c r="D224" s="579">
        <f>C224*VLOOKUP(E109, Tausta_Energia!$B$48:$C$57, 2,FALSE)/1000</f>
        <v>0</v>
      </c>
      <c r="E224" s="580">
        <f>IF(F109="kyllä", H109/C109, VLOOKUP("Seura- tai kerhorakennus", Tausta_Energia!$B$33:$D$39, 2,FALSE))</f>
        <v>34.200000000000003</v>
      </c>
      <c r="F224" s="581">
        <f>E224*VLOOKUP(D109,Tausta_Energia!$B$42:$C$45,2,0)/1000</f>
        <v>0</v>
      </c>
      <c r="G224" s="576">
        <f t="shared" si="0"/>
        <v>0</v>
      </c>
      <c r="H224" s="577">
        <f t="shared" si="1"/>
        <v>0</v>
      </c>
    </row>
    <row r="225" spans="3:8" hidden="1">
      <c r="C225" s="457"/>
      <c r="D225" s="473"/>
      <c r="E225" s="457"/>
      <c r="F225" s="457"/>
      <c r="G225" s="478">
        <f>SUM(G218:G224)</f>
        <v>0</v>
      </c>
      <c r="H225" s="478">
        <f>SUM(H218:H224)</f>
        <v>0</v>
      </c>
    </row>
    <row r="226" spans="3:8" ht="15" hidden="1" thickBot="1"/>
    <row r="227" spans="3:8" hidden="1">
      <c r="C227" s="582" t="s">
        <v>131</v>
      </c>
      <c r="D227" s="450"/>
    </row>
    <row r="228" spans="3:8" hidden="1">
      <c r="C228" s="583">
        <f>IF(ISBLANK(F162),E162*VLOOKUP(D162,Tausta_Ajoneuvot!$B$24:$C$28,2,0),F162*VLOOKUP(C162,Tausta_Ajoneuvot!$B$17:$D$21,3,0)*VLOOKUP(D162,Tausta_Ajoneuvot!$B$24:$C$28,2,0))</f>
        <v>0</v>
      </c>
    </row>
    <row r="229" spans="3:8" hidden="1">
      <c r="C229" s="583">
        <f>IF(ISBLANK(F163),E163*VLOOKUP(D163,Tausta_Ajoneuvot!$B$24:$C$28,2,0),F163*VLOOKUP(C163,Tausta_Ajoneuvot!$B$17:$D$21,3,0)*VLOOKUP(D163,Tausta_Ajoneuvot!$B$24:$C$28,2,0))</f>
        <v>0</v>
      </c>
    </row>
    <row r="230" spans="3:8" hidden="1">
      <c r="C230" s="583">
        <f>IF(ISBLANK(F164),E164*VLOOKUP(D164,Tausta_Ajoneuvot!$B$24:$C$28,2,0),F164*VLOOKUP(C164,Tausta_Ajoneuvot!$B$17:$D$21,3,0)*VLOOKUP(D164,Tausta_Ajoneuvot!$B$24:$C$28,2,0))</f>
        <v>0</v>
      </c>
    </row>
    <row r="231" spans="3:8" hidden="1">
      <c r="C231" s="583">
        <f>IF(ISBLANK(F165),E165*VLOOKUP(D165,Tausta_Ajoneuvot!$B$24:$C$28,2,0),F165*VLOOKUP(C165,Tausta_Ajoneuvot!$B$17:$D$21,3,0)*VLOOKUP(D165,Tausta_Ajoneuvot!$B$24:$C$28,2,0))</f>
        <v>0</v>
      </c>
    </row>
    <row r="232" spans="3:8" hidden="1">
      <c r="C232" s="583">
        <f>IF(ISBLANK(F166),E166*VLOOKUP(D166,Tausta_Ajoneuvot!$B$24:$C$28,2,0),F166*VLOOKUP(C166,Tausta_Ajoneuvot!$B$17:$D$21,3,0)*VLOOKUP(D166,Tausta_Ajoneuvot!$B$24:$C$28,2,0))</f>
        <v>0</v>
      </c>
    </row>
    <row r="233" spans="3:8" hidden="1">
      <c r="C233" s="583">
        <f>IF(ISBLANK(F167),E167*VLOOKUP(D167,Tausta_Ajoneuvot!$B$24:$C$28,2,0),F167*VLOOKUP(C167,Tausta_Ajoneuvot!$B$17:$D$21,3,0)*VLOOKUP(D167,Tausta_Ajoneuvot!$B$24:$C$28,2,0))</f>
        <v>0</v>
      </c>
    </row>
    <row r="234" spans="3:8" hidden="1">
      <c r="C234" s="583">
        <f>IF(ISBLANK(F168),E168*VLOOKUP(D168,Tausta_Ajoneuvot!$B$24:$C$28,2,0),F168*VLOOKUP(C168,Tausta_Ajoneuvot!$B$17:$D$21,3,0)*VLOOKUP(D168,Tausta_Ajoneuvot!$B$24:$C$28,2,0))</f>
        <v>0</v>
      </c>
    </row>
    <row r="235" spans="3:8" hidden="1"/>
    <row r="237" spans="3:8">
      <c r="D237" s="584"/>
    </row>
    <row r="238" spans="3:8">
      <c r="D238" s="584"/>
    </row>
    <row r="239" spans="3:8">
      <c r="D239" s="584"/>
    </row>
  </sheetData>
  <sheetProtection algorithmName="SHA-512" hashValue="tiHcwqhJdQqW4EcZVjjPR47jHR903F+QWVbxZYp3NUH/Ejkb3rmvExrDyBv5wsPxVxNT7VjH2TlSBw0869s6DA==" saltValue="cmkCQjETWGTtegYEg4Np5w==" spinCount="100000" sheet="1"/>
  <protectedRanges>
    <protectedRange sqref="C103:C109 D93:D95 D100:D101 D110:D143" name="Data"/>
  </protectedRanges>
  <mergeCells count="53">
    <mergeCell ref="C205:E205"/>
    <mergeCell ref="D22:E22"/>
    <mergeCell ref="D28:E28"/>
    <mergeCell ref="C156:E156"/>
    <mergeCell ref="C171:E171"/>
    <mergeCell ref="C71:E71"/>
    <mergeCell ref="C31:E31"/>
    <mergeCell ref="C81:E81"/>
    <mergeCell ref="C202:E202"/>
    <mergeCell ref="C199:E199"/>
    <mergeCell ref="C176:E176"/>
    <mergeCell ref="C193:E193"/>
    <mergeCell ref="C4:E6"/>
    <mergeCell ref="D14:E14"/>
    <mergeCell ref="C160:E160"/>
    <mergeCell ref="C96:E96"/>
    <mergeCell ref="D13:E13"/>
    <mergeCell ref="C196:E196"/>
    <mergeCell ref="D16:E16"/>
    <mergeCell ref="D24:E24"/>
    <mergeCell ref="D27:E27"/>
    <mergeCell ref="D26:E26"/>
    <mergeCell ref="D25:E25"/>
    <mergeCell ref="D18:E18"/>
    <mergeCell ref="D19:E19"/>
    <mergeCell ref="C180:E180"/>
    <mergeCell ref="C184:E184"/>
    <mergeCell ref="C45:E45"/>
    <mergeCell ref="C190:E190"/>
    <mergeCell ref="D29:E29"/>
    <mergeCell ref="C65:E65"/>
    <mergeCell ref="C48:E48"/>
    <mergeCell ref="C101:E101"/>
    <mergeCell ref="L7:N7"/>
    <mergeCell ref="C8:E10"/>
    <mergeCell ref="C146:E146"/>
    <mergeCell ref="F146:G146"/>
    <mergeCell ref="L11:N11"/>
    <mergeCell ref="D33:E33"/>
    <mergeCell ref="D23:E23"/>
    <mergeCell ref="D21:E21"/>
    <mergeCell ref="D20:E20"/>
    <mergeCell ref="D17:E17"/>
    <mergeCell ref="C145:E145"/>
    <mergeCell ref="C72:E72"/>
    <mergeCell ref="G144:J144"/>
    <mergeCell ref="D12:E12"/>
    <mergeCell ref="L21:N21"/>
    <mergeCell ref="D34:E34"/>
    <mergeCell ref="G32:G34"/>
    <mergeCell ref="H32:J34"/>
    <mergeCell ref="C187:E187"/>
    <mergeCell ref="C37:E37"/>
  </mergeCells>
  <conditionalFormatting sqref="C74:C79">
    <cfRule type="expression" dxfId="19" priority="1">
      <formula>$D74&gt;0</formula>
    </cfRule>
  </conditionalFormatting>
  <conditionalFormatting sqref="C167">
    <cfRule type="cellIs" dxfId="18" priority="11" operator="equal">
      <formula>"valitse"</formula>
    </cfRule>
  </conditionalFormatting>
  <conditionalFormatting sqref="C168">
    <cfRule type="cellIs" dxfId="17" priority="10" operator="equal">
      <formula>"Valitse"</formula>
    </cfRule>
  </conditionalFormatting>
  <conditionalFormatting sqref="C162:D163 C164:C166 D164:D168">
    <cfRule type="cellIs" dxfId="16" priority="9" operator="equal">
      <formula>"Valitse"</formula>
    </cfRule>
  </conditionalFormatting>
  <conditionalFormatting sqref="D36">
    <cfRule type="expression" dxfId="15" priority="52" stopIfTrue="1">
      <formula>#REF!="kyllä"</formula>
    </cfRule>
    <cfRule type="expression" dxfId="14" priority="59">
      <formula>IF(C162="Henkilöauto, sähkö","Sähkö")</formula>
    </cfRule>
  </conditionalFormatting>
  <conditionalFormatting sqref="D46">
    <cfRule type="cellIs" dxfId="13" priority="7" operator="equal">
      <formula>"Valitse"</formula>
    </cfRule>
  </conditionalFormatting>
  <conditionalFormatting sqref="D147:D154">
    <cfRule type="expression" dxfId="12" priority="3">
      <formula>F147&gt;0</formula>
    </cfRule>
  </conditionalFormatting>
  <conditionalFormatting sqref="D162:D168">
    <cfRule type="expression" dxfId="11" priority="55">
      <formula>IF(C168="Henkilöauto, sähkö","Sähkö")</formula>
    </cfRule>
    <cfRule type="expression" dxfId="10" priority="56" stopIfTrue="1">
      <formula>#REF!="kyllä"</formula>
    </cfRule>
  </conditionalFormatting>
  <conditionalFormatting sqref="D103:G109 C110:C143 E110:H143">
    <cfRule type="cellIs" dxfId="9" priority="5" operator="equal">
      <formula>"Valitse"</formula>
    </cfRule>
  </conditionalFormatting>
  <conditionalFormatting sqref="E162:E168">
    <cfRule type="cellIs" dxfId="8" priority="12" operator="equal">
      <formula>""</formula>
    </cfRule>
    <cfRule type="cellIs" dxfId="7" priority="13" operator="equal">
      <formula>0</formula>
    </cfRule>
    <cfRule type="expression" dxfId="6" priority="44">
      <formula>E162&gt;1</formula>
    </cfRule>
    <cfRule type="expression" dxfId="5" priority="45">
      <formula>E162&gt;""</formula>
    </cfRule>
  </conditionalFormatting>
  <conditionalFormatting sqref="F147:F154">
    <cfRule type="expression" dxfId="4" priority="4">
      <formula>D147&gt;0</formula>
    </cfRule>
  </conditionalFormatting>
  <conditionalFormatting sqref="F162:F168">
    <cfRule type="expression" dxfId="3" priority="53">
      <formula>E162=""</formula>
    </cfRule>
    <cfRule type="expression" dxfId="2" priority="54">
      <formula>E162=0</formula>
    </cfRule>
  </conditionalFormatting>
  <conditionalFormatting sqref="H103:I109 I110:J143">
    <cfRule type="expression" dxfId="1" priority="39">
      <formula>F103="kyllä"</formula>
    </cfRule>
  </conditionalFormatting>
  <dataValidations count="28">
    <dataValidation errorStyle="information" allowBlank="1" showInputMessage="1" showErrorMessage="1" errorTitle="Jätä tämä kenttä tyhjäksi," error="jos täytät vuotuiset kilometrit oikealla." promptTitle="OHJE" prompt="* Jos et tiedä vuotuista polttoaineen kulutusta, merkitse tähän soluun 0 (nolla) ja täytä oikealle vuotuiset kilometrit._x000a_* Jos täytät tähän soluun vuotuisen polttoaineen kulutuksen, jätä oikealla oleva solu (vuotuiset kilometrit) tyhjäksi. " sqref="E162" xr:uid="{FE20A413-3C54-D148-A5C1-A42F1BC92AFB}"/>
    <dataValidation allowBlank="1" showInputMessage="1" showErrorMessage="1" promptTitle="OHJE" prompt="* Jos et tiedä vuotuista polttoaineen kulutusta, merkitse tähän soluun 0 (nolla) ja täytä oikealle vuotuiset kilometrit._x000a_* Jos täytät tähän soluun vuotuisen polttoaineen kulutuksen, jätä oikealla oleva solu (vuotuiset kilometrit) tyhjäksi. " sqref="E163:E168" xr:uid="{3E92D84F-B5AE-1840-8095-3C8A6EE17485}"/>
    <dataValidation allowBlank="1" showInputMessage="1" showErrorMessage="1" promptTitle="OHJE" prompt="* Jos täytät tähän soluun vuodessa ajetut kilometrit, merkitse polttoaineen kulutukseen 0._x000a_* Ei koske veneitä" sqref="F163:F168" xr:uid="{EDDA2817-3426-1A4E-ACF2-C2749AD83D8A}"/>
    <dataValidation allowBlank="1" showInputMessage="1" showErrorMessage="1" promptTitle="OHJE" prompt="* Jos täytät tähän soluun vuodessa ajetut kilometrit, merkitse vasemalle polttoaineen kulutukseen 0._x000a_* Ei koske veneitä" sqref="F162" xr:uid="{8DBB30E9-4247-254A-95A3-EA468C8BF9E1}"/>
    <dataValidation allowBlank="1" showInputMessage="1" showErrorMessage="1" promptTitle="OHJE" prompt="Täytä luku 1-100, prosenttimerkkiä ei tarvitse lisätä, se tulee automaattisesti._x000a_" sqref="D83:D85 D88:D91 D40 D42:D43" xr:uid="{BB459AD3-EEEB-6C40-AEA1-332376023204}"/>
    <dataValidation allowBlank="1" showInputMessage="1" showErrorMessage="1" promptTitle="OHJE" prompt="Kirjaa tiedot kullekin riville ainoastaan joko 1. tai 2. osioon." sqref="F147:F148 F152:F154 D152:D154" xr:uid="{C37571A4-0BEB-D444-87D9-EA87B1921FE4}"/>
    <dataValidation allowBlank="1" showInputMessage="1" showErrorMessage="1" promptTitle="OHJE" prompt="Laskurissa esitetty kompensaatiosumma on suuntaa antava ja perustuu Hiilinielurekisterin myymien kompensaatioyksiköiden hintaan. Valitusta kompensaatioita välittävästä yrityksestä riippuen hinta voi olla eri." sqref="D32" xr:uid="{E7E47613-015A-44DF-BDD5-0E9EA0D1F441}"/>
    <dataValidation allowBlank="1" showInputMessage="1" showErrorMessage="1" promptTitle="OHJE" prompt="Kirjaa tiedot kullekin riville ainoastaan joko 1. tai 2. osioon. Meno-paluu = 2 kpl" sqref="D147:D148" xr:uid="{1E0EE26A-4028-4123-9F12-0AF80302CBAA}"/>
    <dataValidation allowBlank="1" showInputMessage="1" showErrorMessage="1" promptTitle="OHJE" prompt="Kirjaa tiedot kullekin riville ainoastaan joko 1. tai 2. osioon. Täyttäkää vain ne, joita ei ole laskettu tapahtumien kohdalla." sqref="D149:D151 F149:F151" xr:uid="{D0F63527-0F93-42C5-B4D4-F45A16628DBC}"/>
    <dataValidation allowBlank="1" showInputMessage="1" showErrorMessage="1" promptTitle="OHJE" prompt="Merkitkää etäsyys yhteen suuntaan, ei edestakaisin. Jos et tiedä, jätä tyhjäksi: laskuri käyttää arvioita." sqref="D39" xr:uid="{08834941-8F7B-48D1-80A0-58FC2EA669FE}"/>
    <dataValidation allowBlank="1" showInputMessage="1" showErrorMessage="1" promptTitle="OHJE" prompt="Laskekaa sekä ryhmän johtajat että jäsenet. Esimerkiksi 5 viikkokokousta, joissa jokaisessa 4 jäsentä sekä 1 johtaja = 5*(4+1) = 25 käyntikertaa" sqref="D38" xr:uid="{F3A5BCCA-B635-4E7A-933D-53370F85C71A}"/>
    <dataValidation allowBlank="1" showInputMessage="1" showErrorMessage="1" promptTitle="OHJE" prompt="Adventtikalenterit on otettu huomioon Suomen Partiolaisten laskennassa. Muiden partiotoimijoiden ei tarvitse laskea niitä omaan hiilijalanjälkeensä." sqref="D97" xr:uid="{A6173FA1-5C0D-4E94-B983-37B6AEA8BA84}"/>
    <dataValidation allowBlank="1" showInputMessage="1" showErrorMessage="1" promptTitle="OHJE" prompt="Lisätkää tälle riville kaikki muut hankinnat euromääräisinä, joita ette löytäneet taulukon hankintalistasta. Mikäli täytitte &quot;Organisaation järjestämät tapahtumat&quot;-kohtaan hankintoja, älkää täyttäkö niitä tähän." sqref="D62:E62" xr:uid="{685DCA50-E939-40DC-B6CD-7650894F00BF}"/>
    <dataValidation allowBlank="1" showInputMessage="1" showErrorMessage="1" promptTitle="OHJE" prompt="Täyttäkää tähän vuoden aikana polttamanne energialähteet. Mikäli olette täyttäneet näitä tietoja muualle, esimerkiksi Talla-laskuriin tai &quot;Organisaation omistamat ajoneuvot&quot;-kohtaan, älkää täyttäkö uudestaan tähän." sqref="D67:D69" xr:uid="{6B23421A-704B-47D4-9592-033623E2DD32}"/>
    <dataValidation allowBlank="1" showInputMessage="1" showErrorMessage="1" promptTitle="OHJE" prompt="Voitte laskea tapahtumien hiilijalanjäljen tarkemmin Talla-laskurilla. Mikäli olette käyttäneet muita laskureita tapahtumien hiilijalanjälkeen, täyttäkää tiedot tähän. Älkää täyttäkö näiden tapahtumien tietoja alempaan kohtaan." sqref="D75:D79" xr:uid="{C9B20794-AE7E-459B-BBDD-BBC344ACE356}"/>
    <dataValidation allowBlank="1" showInputMessage="1" showErrorMessage="1" promptTitle="OHJE" prompt="Organisaation maksamat ateriat" sqref="D82" xr:uid="{D6AFE757-A2DD-4C15-8042-772060BFBCF3}"/>
    <dataValidation allowBlank="1" showInputMessage="1" showErrorMessage="1" promptTitle="OHJE" prompt="Huomioikaa myös muut tapahtumaan osallistuneet henkilöt, kuten johtajat ja muonittajat. Älkää laskeko etäosallistujia tähän." sqref="D86" xr:uid="{3B8BBA0F-35E1-46FD-93E1-E4DFD692C2E7}"/>
    <dataValidation allowBlank="1" showInputMessage="1" showErrorMessage="1" promptTitle="OHJE" prompt="Merkitkää etäsyys yhteen suuntaan, ei edestakaisin. Jos et tiedä, jätä tyhjäksi: laskuri käyttää Suomen laajuisen partiotapahtuman keskimääräistä kulkuetäisyyttä." sqref="D87" xr:uid="{07FA4075-A615-4D3B-9138-793F62ED606A}"/>
    <dataValidation allowBlank="1" showInputMessage="1" showErrorMessage="1" promptTitle="OHJE" prompt="Lisätkää tälle riville kaikki tapahtumien hankinnat euromääräisinä. Mikäli täytitte &quot;Hankinnat&quot;-kohtaan hankintoja, älkää täyttäkö niitä tähän." sqref="D92" xr:uid="{6FA85EC7-A9CF-460D-A165-C98E6EDA2263}"/>
    <dataValidation allowBlank="1" showInputMessage="1" showErrorMessage="1" promptTitle="OHJE" prompt="Henkilötyövuosi kuvaa kokoaikaiseksi muutetun henkilön työpanosta. Organisaation kaikki työtunnit (palkallinen työ) jaetaan kokoaikaisen palkansaajan keskimääräisillä palkatuilla tunneilla vuodessa. Esim. 1760 h / 1600 h = 1,1 henkilötyövuotta." sqref="D157" xr:uid="{7E481DD7-1D93-4B45-AC70-8913666CAB74}"/>
    <dataValidation allowBlank="1" showInputMessage="1" showErrorMessage="1" promptTitle="OHJE" prompt="Täytä luku 1-100, prosenttimerkkiä ei tarvitse lisätä, se tulee automaattisesti. Kimppakyytiin riittää kaksi henkeä kulkuvälinettä kohden." sqref="D41" xr:uid="{A26708DB-EEE7-4828-8C5B-8DB0A234231E}"/>
    <dataValidation allowBlank="1" showInputMessage="1" showErrorMessage="1" promptTitle="OHJE" prompt="Mikäli teillä on enemmän tapahtumia kuin tässä taulukossa on tilaa, yhdistäkää useita tapahtumia yhdeksi riviksi." sqref="C74:C79" xr:uid="{0BEB37A6-15F3-480F-9298-F118F1436C21}"/>
    <dataValidation allowBlank="1" showInputMessage="1" showErrorMessage="1" promptTitle="OHJE" prompt="Mikäli olette käyttäneet muita laskureita tapahtumien hiilijalanjälkeen, täyttäkää tiedot tähän. Älkää täyttäkö näiden tapahtumien tietoja alempaan kohtaan." sqref="D74" xr:uid="{544D0798-6047-4447-AD80-D00DA94B0DF2}"/>
    <dataValidation allowBlank="1" showInputMessage="1" showErrorMessage="1" promptTitle="OHJE" prompt="Hiilikompensaation avulla toiminnasta syntyneet päästöt hyvitetään sitomalla hiiltä tai estämällä päästöjen syntymisen jossain muualla. Vähennä toiminnan päästöjä ensisijaisesti ja kompensoi vasta sen jälkeen." sqref="C31:E31" xr:uid="{0853E2F1-09F5-43AA-8EFE-BB8C5258F03E}"/>
    <dataValidation allowBlank="1" showInputMessage="1" showErrorMessage="1" promptTitle="OHJE" prompt="HUOM! Varmista, että olet syöttänyt tiedot pyydetyissä yksiköissä 1MWh = 1000 kWh." sqref="I110:J143 H103:I109" xr:uid="{DD50A476-B025-B947-907B-C9EE30E84977}"/>
    <dataValidation allowBlank="1" showInputMessage="1" showErrorMessage="1" promptTitle="OHJE" prompt="Mikäli täytitte &quot;Organisaation järjestämät tapahtumat&quot;-kohtaan hankintoja, älkää täyttäkö niitä tähän. Jos ette tiedä hankinnan kategoriaa, täyttäkää alimmalle riville." sqref="D50:E61" xr:uid="{4AB2E001-21ED-40C1-A7E6-88A591FC2C66}"/>
    <dataValidation allowBlank="1" showInputMessage="1" showErrorMessage="1" promptTitle="OHJE" prompt="Täyttäkää tähän vuoden aikana polttamanne energialähteet. Huom. GHG Protocollan mukaan puunpoltosta (biomassa) syntyviä päästöjä ei sisällytetä organisaation kokonaishiilijalanjälkeen, mutta ne tulisi raportoida erikseen. " sqref="D66" xr:uid="{706C622B-107D-4ADA-A194-ECADEDF0539C}"/>
    <dataValidation allowBlank="1" showInputMessage="1" showErrorMessage="1" promptTitle="OHJE" prompt="Voit kirjoittaa tähän lisätietoja laskentaan tai tiedonhankintaan liittyen." sqref="H32:J34" xr:uid="{5FB9E56E-F2BE-4255-AFC7-FB24F608504A}"/>
  </dataValidations>
  <hyperlinks>
    <hyperlink ref="L24" r:id="rId1" xr:uid="{7756CC35-2FF0-4AF8-9AF4-330E7E1F9665}"/>
  </hyperlinks>
  <pageMargins left="0.7" right="0.7" top="0.75" bottom="0.75" header="0.3" footer="0.3"/>
  <pageSetup orientation="portrait" r:id="rId2"/>
  <drawing r:id="rId3"/>
  <extLst>
    <ext xmlns:x14="http://schemas.microsoft.com/office/spreadsheetml/2009/9/main" uri="{CCE6A557-97BC-4b89-ADB6-D9C93CAAB3DF}">
      <x14:dataValidations xmlns:xm="http://schemas.microsoft.com/office/excel/2006/main" count="15">
        <x14:dataValidation type="list" allowBlank="1" showInputMessage="1" showErrorMessage="1" xr:uid="{9FFA94C9-F4AE-44C3-8EFE-8D413DA51496}">
          <x14:formula1>
            <xm:f>Listat!$D$4:$D$6</xm:f>
          </x14:formula1>
          <xm:sqref>D46 F103:G109 G110:H143</xm:sqref>
        </x14:dataValidation>
        <x14:dataValidation type="list" allowBlank="1" showInputMessage="1" showErrorMessage="1" xr:uid="{AB5FDD80-25D6-404A-858C-7E4C3FBB0B0B}">
          <x14:formula1>
            <xm:f>Listat!$C$4:$C$13</xm:f>
          </x14:formula1>
          <xm:sqref>D179</xm:sqref>
        </x14:dataValidation>
        <x14:dataValidation type="list" allowBlank="1" showInputMessage="1" showErrorMessage="1" promptTitle="OHJE" prompt="Valitkaa alasvetovalikosta arvio palkatun henkilöstön lähityön osuudesta. Lähityö = toimipisteessä tehty työ." xr:uid="{8CA5D0DB-B389-F04B-AD79-4ABB6260D102}">
          <x14:formula1>
            <xm:f>Listat!$C$4:$C$14</xm:f>
          </x14:formula1>
          <xm:sqref>D158</xm:sqref>
        </x14:dataValidation>
        <x14:dataValidation type="list" allowBlank="1" showInputMessage="1" showErrorMessage="1" xr:uid="{41463E74-B6E8-4648-A98C-6F638C45C2B2}">
          <x14:formula1>
            <xm:f>Tausta_Energia!$B$33:$B$39</xm:f>
          </x14:formula1>
          <xm:sqref>C110:C143</xm:sqref>
        </x14:dataValidation>
        <x14:dataValidation type="list" allowBlank="1" showInputMessage="1" showErrorMessage="1" promptTitle="OHJE" prompt="Sähkösopimus-tyyppien selitykset löytyvät taulukon oikeasta laidasta." xr:uid="{9A448C09-CDCF-924B-8376-B0B70731FEE8}">
          <x14:formula1>
            <xm:f>Tausta_Energia!$B$42:$B$45</xm:f>
          </x14:formula1>
          <xm:sqref>E110:E143</xm:sqref>
        </x14:dataValidation>
        <x14:dataValidation type="list" allowBlank="1" showInputMessage="1" showErrorMessage="1" xr:uid="{E62F7D35-CBA1-F249-AF4B-437916A97306}">
          <x14:formula1>
            <xm:f>Tausta_Ajoneuvot!$B$17:$B$21</xm:f>
          </x14:formula1>
          <xm:sqref>C162:C168</xm:sqref>
        </x14:dataValidation>
        <x14:dataValidation type="list" allowBlank="1" showInputMessage="1" showErrorMessage="1" promptTitle="OHJE" prompt="Mikäli organisaatio omistaa hybridiajoneuvoja, valitkaa näiden käyttövoimaksi bensiini." xr:uid="{FAF54018-2AA5-0F44-BBC8-E48192DF2F4D}">
          <x14:formula1>
            <xm:f>IF($C$162=Tausta_Ajoneuvot!$B$19,Tausta_Ajoneuvot!$B$28,Tausta_Ajoneuvot!$B$24:$B$27)</xm:f>
          </x14:formula1>
          <xm:sqref>D162</xm:sqref>
        </x14:dataValidation>
        <x14:dataValidation type="list" allowBlank="1" showInputMessage="1" showErrorMessage="1" promptTitle="OHJE" prompt="Markkinasähkö = Voi sisältää useilla tuotantomuodoilla tuotettua sähköä. Uusiutuva = Esim. tuulivoima. Päästötön = Ei tuotettu fossiilisilla polttoaineilla; esim. ydinvoima." xr:uid="{226AD4B8-5630-4A49-B20B-8CC7E0446D5C}">
          <x14:formula1>
            <xm:f>Tausta_Energia!$B$42:$B$45</xm:f>
          </x14:formula1>
          <xm:sqref>D103:D109</xm:sqref>
        </x14:dataValidation>
        <x14:dataValidation type="list" allowBlank="1" showInputMessage="1" showErrorMessage="1" xr:uid="{A47B8F68-7F84-9740-B924-4F4C85ADA5FA}">
          <x14:formula1>
            <xm:f>Tausta_Energia!$B$48:$B$57</xm:f>
          </x14:formula1>
          <xm:sqref>F110:F143 E103:E109</xm:sqref>
        </x14:dataValidation>
        <x14:dataValidation type="list" allowBlank="1" showInputMessage="1" showErrorMessage="1" promptTitle="OHJE" prompt="Mikäli organisaatio omistaa hybridiajoneuvoja, valitkaa näiden käyttövoimaksi bensiini." xr:uid="{7288C0BB-8AAB-4A70-B371-84DFA6352A77}">
          <x14:formula1>
            <xm:f>IF($C$163=Tausta_Ajoneuvot!$B$19,Tausta_Ajoneuvot!$B$28,Tausta_Ajoneuvot!$B$24:$B$27)</xm:f>
          </x14:formula1>
          <xm:sqref>D163</xm:sqref>
        </x14:dataValidation>
        <x14:dataValidation type="list" allowBlank="1" showInputMessage="1" showErrorMessage="1" promptTitle="OHJE" prompt="Mikäli organisaatio omistaa hybridiajoneuvoja, valitkaa näiden käyttövoimaksi bensiini." xr:uid="{D1EFB72B-724A-4602-BD7B-0E108394A986}">
          <x14:formula1>
            <xm:f>IF($C$164=Tausta_Ajoneuvot!$B$19,Tausta_Ajoneuvot!$B$28,Tausta_Ajoneuvot!$B$24:$B$27)</xm:f>
          </x14:formula1>
          <xm:sqref>D164</xm:sqref>
        </x14:dataValidation>
        <x14:dataValidation type="list" allowBlank="1" showInputMessage="1" showErrorMessage="1" promptTitle="OHJE" prompt="Mikäli organisaatio omistaa hybridiajoneuvoja, valitkaa näiden käyttövoimaksi bensiini." xr:uid="{DEA55F8E-2944-4564-90E0-806F80E0475B}">
          <x14:formula1>
            <xm:f>IF($C$165=Tausta_Ajoneuvot!$B$19,Tausta_Ajoneuvot!$B$28,Tausta_Ajoneuvot!$B$24:$B$27)</xm:f>
          </x14:formula1>
          <xm:sqref>D165</xm:sqref>
        </x14:dataValidation>
        <x14:dataValidation type="list" allowBlank="1" showInputMessage="1" showErrorMessage="1" promptTitle="OHJE" prompt="Mikäli organisaatio omistaa hybridiajoneuvoja, valitkaa näiden käyttövoimaksi bensiini." xr:uid="{466EFFB3-3E6A-488E-9E10-C1BD4E79207F}">
          <x14:formula1>
            <xm:f>IF($C$166=Tausta_Ajoneuvot!$B$19,Tausta_Ajoneuvot!$B$28,Tausta_Ajoneuvot!$B$24:$B$27)</xm:f>
          </x14:formula1>
          <xm:sqref>D166</xm:sqref>
        </x14:dataValidation>
        <x14:dataValidation type="list" allowBlank="1" showInputMessage="1" showErrorMessage="1" promptTitle="OHJE" prompt="Mikäli organisaatio omistaa hybridiajoneuvoja, valitkaa näiden käyttövoimaksi bensiini." xr:uid="{28AE29B5-0602-41F6-8774-46AC417B519D}">
          <x14:formula1>
            <xm:f>IF($C$167=Tausta_Ajoneuvot!$B$19,Tausta_Ajoneuvot!$B$28,Tausta_Ajoneuvot!$B$24:$B$27)</xm:f>
          </x14:formula1>
          <xm:sqref>D167</xm:sqref>
        </x14:dataValidation>
        <x14:dataValidation type="list" allowBlank="1" showInputMessage="1" showErrorMessage="1" promptTitle="OHJE" prompt="Mikäli organisaatio omistaa hybridiajoneuvoja, valitkaa näiden käyttövoimaksi bensiini." xr:uid="{2CC94D36-1216-44BB-A6BD-FBFE6CFF4CC3}">
          <x14:formula1>
            <xm:f>IF($C$168=Tausta_Ajoneuvot!$B$19,Tausta_Ajoneuvot!$B$28,Tausta_Ajoneuvot!$B$24:$B$27)</xm:f>
          </x14:formula1>
          <xm:sqref>D168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42EB31-F4E2-4BD7-B6AC-684727475134}">
  <dimension ref="B1:N72"/>
  <sheetViews>
    <sheetView zoomScale="102" zoomScaleNormal="100" workbookViewId="0">
      <selection activeCell="I57" sqref="I57"/>
    </sheetView>
  </sheetViews>
  <sheetFormatPr defaultColWidth="11.42578125" defaultRowHeight="14.45"/>
  <cols>
    <col min="1" max="1" width="2.7109375" style="89" customWidth="1"/>
    <col min="2" max="2" width="71.7109375" style="89" customWidth="1"/>
    <col min="3" max="3" width="24.7109375" style="89" customWidth="1"/>
    <col min="4" max="8" width="18" style="89" customWidth="1"/>
    <col min="9" max="9" width="28.42578125" style="89" customWidth="1"/>
    <col min="10" max="16384" width="11.42578125" style="89"/>
  </cols>
  <sheetData>
    <row r="1" spans="2:4">
      <c r="B1" s="735" t="s">
        <v>515</v>
      </c>
      <c r="C1" s="736" t="s">
        <v>155</v>
      </c>
      <c r="D1" s="737" t="s">
        <v>158</v>
      </c>
    </row>
    <row r="2" spans="2:4">
      <c r="B2" s="738" t="s">
        <v>232</v>
      </c>
      <c r="C2" s="100">
        <f>'Päästökertoimet ja muut'!C34</f>
        <v>400</v>
      </c>
      <c r="D2" s="739" t="s">
        <v>562</v>
      </c>
    </row>
    <row r="3" spans="2:4">
      <c r="B3" s="275" t="s">
        <v>228</v>
      </c>
      <c r="C3" s="94">
        <f>'Päästökertoimet ja muut'!C31</f>
        <v>56.7</v>
      </c>
      <c r="D3" s="739" t="s">
        <v>562</v>
      </c>
    </row>
    <row r="4" spans="2:4">
      <c r="B4" s="740" t="s">
        <v>217</v>
      </c>
      <c r="C4" s="99">
        <f>'Päästökertoimet ja muut'!C26</f>
        <v>53.43</v>
      </c>
      <c r="D4" s="739" t="s">
        <v>562</v>
      </c>
    </row>
    <row r="5" spans="2:4">
      <c r="B5" s="275" t="s">
        <v>227</v>
      </c>
      <c r="C5" s="94">
        <f>'Päästökertoimet ja muut'!C30</f>
        <v>24.64</v>
      </c>
      <c r="D5" s="739" t="s">
        <v>562</v>
      </c>
    </row>
    <row r="6" spans="2:4">
      <c r="B6" s="275" t="s">
        <v>226</v>
      </c>
      <c r="C6" s="94">
        <f>'Päästökertoimet ja muut'!C29</f>
        <v>13.17</v>
      </c>
      <c r="D6" s="739" t="s">
        <v>562</v>
      </c>
    </row>
    <row r="7" spans="2:4">
      <c r="B7" s="275" t="s">
        <v>563</v>
      </c>
      <c r="C7" s="101">
        <f>'Päästökertoimet ja muut'!C28</f>
        <v>1050</v>
      </c>
      <c r="D7" s="739" t="s">
        <v>562</v>
      </c>
    </row>
    <row r="8" spans="2:4">
      <c r="B8" s="741" t="s">
        <v>229</v>
      </c>
      <c r="C8" s="98">
        <f>'Päästökertoimet ja muut'!C32</f>
        <v>365.87</v>
      </c>
      <c r="D8" s="742" t="s">
        <v>562</v>
      </c>
    </row>
    <row r="9" spans="2:4">
      <c r="B9" s="741" t="s">
        <v>564</v>
      </c>
      <c r="C9" s="98">
        <f>'Päästökertoimet ja muut'!C52</f>
        <v>70</v>
      </c>
      <c r="D9" s="742" t="s">
        <v>265</v>
      </c>
    </row>
    <row r="10" spans="2:4">
      <c r="B10" s="741" t="s">
        <v>565</v>
      </c>
      <c r="C10" s="98">
        <f>'Päästökertoimet ja muut'!C51</f>
        <v>17.399999999999999</v>
      </c>
      <c r="D10" s="742" t="s">
        <v>265</v>
      </c>
    </row>
    <row r="11" spans="2:4">
      <c r="B11" s="741" t="s">
        <v>270</v>
      </c>
      <c r="C11" s="98">
        <f>'Päästökertoimet ja muut'!C53</f>
        <v>6.5</v>
      </c>
      <c r="D11" s="742" t="s">
        <v>271</v>
      </c>
    </row>
    <row r="12" spans="2:4" ht="15" thickBot="1">
      <c r="B12" s="743" t="s">
        <v>273</v>
      </c>
      <c r="C12" s="416">
        <f>'Päästökertoimet ja muut'!C54</f>
        <v>9.1</v>
      </c>
      <c r="D12" s="744" t="s">
        <v>271</v>
      </c>
    </row>
    <row r="14" spans="2:4" ht="15" thickBot="1"/>
    <row r="15" spans="2:4" ht="15.6">
      <c r="B15" s="745" t="s">
        <v>566</v>
      </c>
      <c r="C15" s="746">
        <f>SUM(C48:I48)</f>
        <v>0</v>
      </c>
      <c r="D15" s="747" t="s">
        <v>567</v>
      </c>
    </row>
    <row r="16" spans="2:4" ht="16.149999999999999" thickBot="1">
      <c r="B16" s="748" t="s">
        <v>568</v>
      </c>
      <c r="C16" s="97">
        <f>SUM(C53:I53)</f>
        <v>0</v>
      </c>
      <c r="D16" s="749" t="s">
        <v>567</v>
      </c>
    </row>
    <row r="17" spans="2:14" s="92" customFormat="1" ht="16.899999999999999" thickTop="1" thickBot="1">
      <c r="B17" s="750" t="s">
        <v>569</v>
      </c>
      <c r="C17" s="751">
        <f>SUM(C15:C16)</f>
        <v>0</v>
      </c>
      <c r="D17" s="752" t="s">
        <v>567</v>
      </c>
      <c r="E17" s="91"/>
      <c r="F17" s="91"/>
      <c r="G17" s="91"/>
      <c r="H17" s="91"/>
      <c r="I17" s="91"/>
      <c r="J17" s="96"/>
      <c r="K17" s="91"/>
      <c r="L17" s="91"/>
      <c r="M17" s="91"/>
      <c r="N17" s="91"/>
    </row>
    <row r="18" spans="2:14" ht="15" thickBot="1">
      <c r="D18" s="90"/>
      <c r="E18" s="90"/>
      <c r="F18" s="90"/>
      <c r="G18" s="90"/>
      <c r="H18" s="90"/>
      <c r="I18" s="90"/>
      <c r="J18" s="95"/>
      <c r="K18" s="90"/>
      <c r="L18" s="90"/>
      <c r="M18" s="90"/>
      <c r="N18" s="90"/>
    </row>
    <row r="19" spans="2:14" ht="15" thickBot="1">
      <c r="B19" s="753"/>
      <c r="C19" s="754" t="s">
        <v>570</v>
      </c>
      <c r="D19" s="754" t="s">
        <v>571</v>
      </c>
      <c r="E19" s="754" t="s">
        <v>572</v>
      </c>
      <c r="F19" s="754" t="s">
        <v>573</v>
      </c>
      <c r="G19" s="754" t="s">
        <v>574</v>
      </c>
      <c r="H19" s="754" t="s">
        <v>575</v>
      </c>
      <c r="I19" s="755" t="s">
        <v>576</v>
      </c>
      <c r="J19" s="91"/>
      <c r="K19" s="90"/>
      <c r="L19" s="90"/>
      <c r="M19" s="90"/>
      <c r="N19" s="90"/>
    </row>
    <row r="20" spans="2:14" ht="15" hidden="1" thickBot="1">
      <c r="B20" s="756" t="s">
        <v>577</v>
      </c>
      <c r="C20" s="757" t="s">
        <v>578</v>
      </c>
      <c r="D20" s="758" t="s">
        <v>579</v>
      </c>
      <c r="E20" s="758"/>
      <c r="F20" s="758" t="s">
        <v>580</v>
      </c>
      <c r="G20" s="758"/>
      <c r="H20" s="758"/>
      <c r="I20" s="759"/>
      <c r="J20" s="90"/>
      <c r="K20" s="90"/>
      <c r="L20" s="90"/>
      <c r="M20" s="90"/>
      <c r="N20" s="90"/>
    </row>
    <row r="21" spans="2:14">
      <c r="B21" s="280" t="s">
        <v>581</v>
      </c>
      <c r="C21" s="281">
        <f>Tausta_Jätteet!C12</f>
        <v>0</v>
      </c>
      <c r="D21" s="281">
        <f>Tausta_Jätteet!C11</f>
        <v>0</v>
      </c>
      <c r="E21" s="281">
        <f>Tausta_Jätteet!C10</f>
        <v>0</v>
      </c>
      <c r="F21" s="281">
        <f>Tausta_Jätteet!C14</f>
        <v>0</v>
      </c>
      <c r="G21" s="281">
        <f>Tausta_Jätteet!C17</f>
        <v>0</v>
      </c>
      <c r="H21" s="281">
        <f>Tausta_Jätteet!C16</f>
        <v>0</v>
      </c>
      <c r="I21" s="293">
        <f>Tausta_Jätteet!C13</f>
        <v>0</v>
      </c>
      <c r="J21" s="90"/>
      <c r="K21" s="90"/>
      <c r="L21" s="90"/>
      <c r="M21" s="90"/>
      <c r="N21" s="90"/>
    </row>
    <row r="22" spans="2:14" ht="15" thickBot="1">
      <c r="B22" s="760" t="s">
        <v>582</v>
      </c>
      <c r="C22" s="415">
        <f t="shared" ref="C22:I22" si="0">C21/1000</f>
        <v>0</v>
      </c>
      <c r="D22" s="415">
        <f t="shared" si="0"/>
        <v>0</v>
      </c>
      <c r="E22" s="415">
        <f t="shared" si="0"/>
        <v>0</v>
      </c>
      <c r="F22" s="415">
        <f t="shared" si="0"/>
        <v>0</v>
      </c>
      <c r="G22" s="415">
        <f t="shared" si="0"/>
        <v>0</v>
      </c>
      <c r="H22" s="415">
        <f t="shared" si="0"/>
        <v>0</v>
      </c>
      <c r="I22" s="417">
        <f t="shared" si="0"/>
        <v>0</v>
      </c>
      <c r="J22" s="90"/>
      <c r="K22" s="90"/>
      <c r="L22" s="90"/>
      <c r="M22" s="90"/>
      <c r="N22" s="90"/>
    </row>
    <row r="23" spans="2:14" ht="15" thickBot="1">
      <c r="B23" s="283" t="s">
        <v>583</v>
      </c>
      <c r="C23" s="284"/>
      <c r="D23" s="284"/>
      <c r="E23" s="284"/>
      <c r="F23" s="284"/>
      <c r="G23" s="284"/>
      <c r="H23" s="284"/>
      <c r="I23" s="292"/>
      <c r="J23" s="90"/>
      <c r="K23" s="90"/>
      <c r="L23" s="90"/>
      <c r="M23" s="90"/>
      <c r="N23" s="90"/>
    </row>
    <row r="24" spans="2:14">
      <c r="B24" s="280" t="s">
        <v>584</v>
      </c>
      <c r="C24" s="429">
        <f t="shared" ref="C24:I24" si="1">C22/(C28*C31)</f>
        <v>0</v>
      </c>
      <c r="D24" s="429">
        <f t="shared" si="1"/>
        <v>0</v>
      </c>
      <c r="E24" s="430">
        <f t="shared" si="1"/>
        <v>0</v>
      </c>
      <c r="F24" s="430">
        <f t="shared" si="1"/>
        <v>0</v>
      </c>
      <c r="G24" s="430">
        <f t="shared" si="1"/>
        <v>0</v>
      </c>
      <c r="H24" s="430">
        <f t="shared" si="1"/>
        <v>0</v>
      </c>
      <c r="I24" s="431">
        <f t="shared" si="1"/>
        <v>0</v>
      </c>
      <c r="J24" s="90"/>
      <c r="K24" s="90"/>
      <c r="L24" s="90"/>
      <c r="M24" s="90"/>
      <c r="N24" s="90"/>
    </row>
    <row r="25" spans="2:14">
      <c r="B25" s="276" t="s">
        <v>585</v>
      </c>
      <c r="C25" s="408">
        <v>15</v>
      </c>
      <c r="D25" s="408">
        <v>15</v>
      </c>
      <c r="E25" s="408">
        <v>15</v>
      </c>
      <c r="F25" s="408">
        <v>15</v>
      </c>
      <c r="G25" s="408">
        <v>15</v>
      </c>
      <c r="H25" s="408">
        <v>15</v>
      </c>
      <c r="I25" s="409">
        <v>15</v>
      </c>
      <c r="J25" s="90"/>
      <c r="K25" s="90"/>
      <c r="L25" s="90"/>
      <c r="M25" s="90"/>
      <c r="N25" s="90"/>
    </row>
    <row r="26" spans="2:14">
      <c r="B26" s="276" t="s">
        <v>586</v>
      </c>
      <c r="C26" s="405">
        <f t="shared" ref="C26:I26" si="2">$C$11</f>
        <v>6.5</v>
      </c>
      <c r="D26" s="405">
        <f t="shared" si="2"/>
        <v>6.5</v>
      </c>
      <c r="E26" s="405">
        <f t="shared" si="2"/>
        <v>6.5</v>
      </c>
      <c r="F26" s="405">
        <f t="shared" si="2"/>
        <v>6.5</v>
      </c>
      <c r="G26" s="405">
        <f t="shared" si="2"/>
        <v>6.5</v>
      </c>
      <c r="H26" s="405">
        <f t="shared" si="2"/>
        <v>6.5</v>
      </c>
      <c r="I26" s="406">
        <f t="shared" si="2"/>
        <v>6.5</v>
      </c>
      <c r="J26" s="90"/>
      <c r="K26" s="90"/>
      <c r="L26" s="90"/>
      <c r="M26" s="90"/>
      <c r="N26" s="90"/>
    </row>
    <row r="27" spans="2:14">
      <c r="B27" s="276" t="s">
        <v>587</v>
      </c>
      <c r="C27" s="405">
        <f t="shared" ref="C27:I27" si="3">$C$12</f>
        <v>9.1</v>
      </c>
      <c r="D27" s="405">
        <f t="shared" si="3"/>
        <v>9.1</v>
      </c>
      <c r="E27" s="405">
        <f t="shared" si="3"/>
        <v>9.1</v>
      </c>
      <c r="F27" s="405">
        <f t="shared" si="3"/>
        <v>9.1</v>
      </c>
      <c r="G27" s="405">
        <f t="shared" si="3"/>
        <v>9.1</v>
      </c>
      <c r="H27" s="405">
        <f t="shared" si="3"/>
        <v>9.1</v>
      </c>
      <c r="I27" s="406">
        <f t="shared" si="3"/>
        <v>9.1</v>
      </c>
      <c r="J27" s="90"/>
      <c r="K27" s="90"/>
      <c r="L27" s="90"/>
      <c r="M27" s="90"/>
      <c r="N27" s="90"/>
    </row>
    <row r="28" spans="2:14">
      <c r="B28" s="276" t="s">
        <v>588</v>
      </c>
      <c r="C28" s="408">
        <v>9</v>
      </c>
      <c r="D28" s="408">
        <v>9</v>
      </c>
      <c r="E28" s="408">
        <v>9</v>
      </c>
      <c r="F28" s="408">
        <v>9</v>
      </c>
      <c r="G28" s="408">
        <v>9</v>
      </c>
      <c r="H28" s="408">
        <v>9</v>
      </c>
      <c r="I28" s="409">
        <v>9</v>
      </c>
      <c r="J28" s="90"/>
      <c r="K28" s="90"/>
      <c r="L28" s="90"/>
      <c r="M28" s="90"/>
      <c r="N28" s="90"/>
    </row>
    <row r="29" spans="2:14">
      <c r="B29" s="276" t="s">
        <v>589</v>
      </c>
      <c r="C29" s="408">
        <f t="shared" ref="C29:I29" si="4">C30-C28</f>
        <v>6</v>
      </c>
      <c r="D29" s="408">
        <f t="shared" si="4"/>
        <v>6</v>
      </c>
      <c r="E29" s="408">
        <f t="shared" si="4"/>
        <v>6</v>
      </c>
      <c r="F29" s="408">
        <f t="shared" si="4"/>
        <v>6</v>
      </c>
      <c r="G29" s="408">
        <f t="shared" si="4"/>
        <v>6</v>
      </c>
      <c r="H29" s="408">
        <f t="shared" si="4"/>
        <v>6</v>
      </c>
      <c r="I29" s="409">
        <f t="shared" si="4"/>
        <v>6</v>
      </c>
      <c r="J29" s="90"/>
      <c r="K29" s="90"/>
      <c r="L29" s="90"/>
      <c r="M29" s="90"/>
      <c r="N29" s="90"/>
    </row>
    <row r="30" spans="2:14">
      <c r="B30" s="276" t="s">
        <v>590</v>
      </c>
      <c r="C30" s="408">
        <v>15</v>
      </c>
      <c r="D30" s="408">
        <v>15</v>
      </c>
      <c r="E30" s="408">
        <v>15</v>
      </c>
      <c r="F30" s="408">
        <v>15</v>
      </c>
      <c r="G30" s="408">
        <v>15</v>
      </c>
      <c r="H30" s="408">
        <v>15</v>
      </c>
      <c r="I30" s="409">
        <v>15</v>
      </c>
      <c r="J30" s="90"/>
      <c r="K30" s="90"/>
      <c r="L30" s="90"/>
      <c r="M30" s="90"/>
      <c r="N30" s="90"/>
    </row>
    <row r="31" spans="2:14">
      <c r="B31" s="276" t="s">
        <v>591</v>
      </c>
      <c r="C31" s="432">
        <v>0.9</v>
      </c>
      <c r="D31" s="432">
        <v>0.9</v>
      </c>
      <c r="E31" s="432">
        <v>0.9</v>
      </c>
      <c r="F31" s="432">
        <v>0.9</v>
      </c>
      <c r="G31" s="432">
        <v>0.9</v>
      </c>
      <c r="H31" s="432">
        <v>0.9</v>
      </c>
      <c r="I31" s="433">
        <v>0.9</v>
      </c>
      <c r="J31" s="125" t="s">
        <v>592</v>
      </c>
      <c r="K31" s="90"/>
      <c r="L31" s="90"/>
      <c r="M31" s="90"/>
      <c r="N31" s="90"/>
    </row>
    <row r="32" spans="2:14">
      <c r="B32" s="276" t="s">
        <v>593</v>
      </c>
      <c r="C32" s="408">
        <f t="shared" ref="C32:I32" si="5">C27-C26</f>
        <v>2.5999999999999996</v>
      </c>
      <c r="D32" s="408">
        <f t="shared" si="5"/>
        <v>2.5999999999999996</v>
      </c>
      <c r="E32" s="408">
        <f t="shared" si="5"/>
        <v>2.5999999999999996</v>
      </c>
      <c r="F32" s="408">
        <f t="shared" si="5"/>
        <v>2.5999999999999996</v>
      </c>
      <c r="G32" s="408">
        <f t="shared" si="5"/>
        <v>2.5999999999999996</v>
      </c>
      <c r="H32" s="408">
        <f t="shared" si="5"/>
        <v>2.5999999999999996</v>
      </c>
      <c r="I32" s="409">
        <f t="shared" si="5"/>
        <v>2.5999999999999996</v>
      </c>
      <c r="J32" s="90"/>
      <c r="K32" s="90"/>
      <c r="L32" s="90"/>
      <c r="M32" s="90"/>
      <c r="N32" s="90"/>
    </row>
    <row r="33" spans="2:14">
      <c r="B33" s="276" t="s">
        <v>594</v>
      </c>
      <c r="C33" s="405">
        <f t="shared" ref="C33:I33" si="6">C32/C28</f>
        <v>0.28888888888888886</v>
      </c>
      <c r="D33" s="405">
        <f t="shared" si="6"/>
        <v>0.28888888888888886</v>
      </c>
      <c r="E33" s="405">
        <f t="shared" si="6"/>
        <v>0.28888888888888886</v>
      </c>
      <c r="F33" s="405">
        <f t="shared" si="6"/>
        <v>0.28888888888888886</v>
      </c>
      <c r="G33" s="405">
        <f t="shared" si="6"/>
        <v>0.28888888888888886</v>
      </c>
      <c r="H33" s="405">
        <f t="shared" si="6"/>
        <v>0.28888888888888886</v>
      </c>
      <c r="I33" s="406">
        <f t="shared" si="6"/>
        <v>0.28888888888888886</v>
      </c>
      <c r="J33" s="90"/>
      <c r="K33" s="90"/>
      <c r="L33" s="90"/>
      <c r="M33" s="90"/>
      <c r="N33" s="90"/>
    </row>
    <row r="34" spans="2:14">
      <c r="B34" s="276" t="s">
        <v>595</v>
      </c>
      <c r="C34" s="405">
        <f t="shared" ref="C34:I34" si="7">C26+C33*C28*C31</f>
        <v>8.84</v>
      </c>
      <c r="D34" s="405">
        <f t="shared" si="7"/>
        <v>8.84</v>
      </c>
      <c r="E34" s="405">
        <f t="shared" si="7"/>
        <v>8.84</v>
      </c>
      <c r="F34" s="405">
        <f t="shared" si="7"/>
        <v>8.84</v>
      </c>
      <c r="G34" s="405">
        <f t="shared" si="7"/>
        <v>8.84</v>
      </c>
      <c r="H34" s="405">
        <f t="shared" si="7"/>
        <v>8.84</v>
      </c>
      <c r="I34" s="406">
        <f t="shared" si="7"/>
        <v>8.84</v>
      </c>
      <c r="J34" s="90"/>
      <c r="K34" s="90"/>
      <c r="L34" s="90"/>
      <c r="M34" s="90"/>
      <c r="N34" s="90"/>
    </row>
    <row r="35" spans="2:14">
      <c r="B35" s="276" t="s">
        <v>596</v>
      </c>
      <c r="C35" s="410">
        <f t="shared" ref="C35:I35" si="8">C34*C24</f>
        <v>0</v>
      </c>
      <c r="D35" s="410">
        <f t="shared" si="8"/>
        <v>0</v>
      </c>
      <c r="E35" s="410">
        <f t="shared" si="8"/>
        <v>0</v>
      </c>
      <c r="F35" s="405">
        <f t="shared" si="8"/>
        <v>0</v>
      </c>
      <c r="G35" s="405">
        <f t="shared" si="8"/>
        <v>0</v>
      </c>
      <c r="H35" s="405">
        <f t="shared" si="8"/>
        <v>0</v>
      </c>
      <c r="I35" s="406">
        <f t="shared" si="8"/>
        <v>0</v>
      </c>
      <c r="J35" s="90"/>
      <c r="K35" s="90"/>
      <c r="L35" s="90"/>
      <c r="M35" s="90"/>
      <c r="N35" s="90"/>
    </row>
    <row r="36" spans="2:14">
      <c r="B36" s="276" t="s">
        <v>597</v>
      </c>
      <c r="C36" s="411">
        <f t="shared" ref="C36:I36" si="9">C38*C25*C34</f>
        <v>0</v>
      </c>
      <c r="D36" s="411">
        <f t="shared" si="9"/>
        <v>0</v>
      </c>
      <c r="E36" s="411">
        <f t="shared" si="9"/>
        <v>0</v>
      </c>
      <c r="F36" s="405">
        <f t="shared" si="9"/>
        <v>0</v>
      </c>
      <c r="G36" s="405">
        <f t="shared" si="9"/>
        <v>0</v>
      </c>
      <c r="H36" s="405">
        <f t="shared" si="9"/>
        <v>0</v>
      </c>
      <c r="I36" s="406">
        <f t="shared" si="9"/>
        <v>0</v>
      </c>
      <c r="J36" s="90"/>
      <c r="K36" s="90"/>
      <c r="L36" s="90"/>
      <c r="M36" s="90"/>
      <c r="N36" s="90"/>
    </row>
    <row r="37" spans="2:14">
      <c r="B37" s="276" t="s">
        <v>598</v>
      </c>
      <c r="C37" s="411">
        <f t="shared" ref="C37:I37" si="10">C35*C25</f>
        <v>0</v>
      </c>
      <c r="D37" s="411">
        <f t="shared" si="10"/>
        <v>0</v>
      </c>
      <c r="E37" s="411">
        <f t="shared" si="10"/>
        <v>0</v>
      </c>
      <c r="F37" s="405">
        <f t="shared" si="10"/>
        <v>0</v>
      </c>
      <c r="G37" s="405">
        <f t="shared" si="10"/>
        <v>0</v>
      </c>
      <c r="H37" s="405">
        <f t="shared" si="10"/>
        <v>0</v>
      </c>
      <c r="I37" s="406">
        <f t="shared" si="10"/>
        <v>0</v>
      </c>
      <c r="J37" s="90"/>
      <c r="K37" s="90"/>
      <c r="L37" s="90"/>
      <c r="M37" s="90"/>
      <c r="N37" s="90"/>
    </row>
    <row r="38" spans="2:14">
      <c r="B38" s="276" t="s">
        <v>599</v>
      </c>
      <c r="C38" s="412">
        <f t="shared" ref="C38:I38" si="11">C22/(C28*C31)</f>
        <v>0</v>
      </c>
      <c r="D38" s="412">
        <f t="shared" si="11"/>
        <v>0</v>
      </c>
      <c r="E38" s="405">
        <f t="shared" si="11"/>
        <v>0</v>
      </c>
      <c r="F38" s="405">
        <f t="shared" si="11"/>
        <v>0</v>
      </c>
      <c r="G38" s="405">
        <f t="shared" si="11"/>
        <v>0</v>
      </c>
      <c r="H38" s="405">
        <f t="shared" si="11"/>
        <v>0</v>
      </c>
      <c r="I38" s="406">
        <f t="shared" si="11"/>
        <v>0</v>
      </c>
      <c r="J38" s="90"/>
      <c r="K38" s="90"/>
      <c r="L38" s="90"/>
      <c r="M38" s="90"/>
      <c r="N38" s="90"/>
    </row>
    <row r="39" spans="2:14">
      <c r="B39" s="275" t="s">
        <v>600</v>
      </c>
      <c r="C39" s="413"/>
      <c r="D39" s="408"/>
      <c r="E39" s="408"/>
      <c r="F39" s="94"/>
      <c r="G39" s="94"/>
      <c r="H39" s="408"/>
      <c r="I39" s="409"/>
      <c r="J39" s="90"/>
      <c r="K39" s="90"/>
      <c r="L39" s="90"/>
      <c r="M39" s="90"/>
      <c r="N39" s="90"/>
    </row>
    <row r="40" spans="2:14" ht="15" thickBot="1">
      <c r="B40" s="285" t="s">
        <v>601</v>
      </c>
      <c r="C40" s="414"/>
      <c r="D40" s="415"/>
      <c r="E40" s="415"/>
      <c r="F40" s="416"/>
      <c r="G40" s="416"/>
      <c r="H40" s="415"/>
      <c r="I40" s="417"/>
      <c r="J40" s="90"/>
      <c r="K40" s="90"/>
      <c r="L40" s="90"/>
      <c r="M40" s="90"/>
      <c r="N40" s="90"/>
    </row>
    <row r="41" spans="2:14" ht="15" thickBot="1">
      <c r="B41" s="277"/>
      <c r="C41" s="90"/>
      <c r="D41" s="90"/>
      <c r="E41" s="90"/>
      <c r="H41" s="90"/>
      <c r="I41" s="418"/>
      <c r="J41" s="90"/>
      <c r="K41" s="90"/>
      <c r="L41" s="90"/>
      <c r="M41" s="90"/>
      <c r="N41" s="90"/>
    </row>
    <row r="42" spans="2:14">
      <c r="B42" s="280" t="s">
        <v>602</v>
      </c>
      <c r="C42" s="281">
        <f>$C$9</f>
        <v>70</v>
      </c>
      <c r="D42" s="434">
        <f>$C$4</f>
        <v>53.43</v>
      </c>
      <c r="E42" s="434">
        <f>C4</f>
        <v>53.43</v>
      </c>
      <c r="F42" s="434">
        <f>C4</f>
        <v>53.43</v>
      </c>
      <c r="G42" s="434">
        <f>C4</f>
        <v>53.43</v>
      </c>
      <c r="H42" s="434">
        <f>C4</f>
        <v>53.43</v>
      </c>
      <c r="I42" s="435">
        <f>C4</f>
        <v>53.43</v>
      </c>
      <c r="J42" s="90"/>
      <c r="K42" s="90"/>
      <c r="L42" s="90"/>
      <c r="M42" s="90"/>
      <c r="N42" s="90"/>
    </row>
    <row r="43" spans="2:14">
      <c r="B43" s="276" t="s">
        <v>603</v>
      </c>
      <c r="C43" s="408">
        <f>$C$10</f>
        <v>17.399999999999999</v>
      </c>
      <c r="D43" s="405">
        <f>$C$5</f>
        <v>24.64</v>
      </c>
      <c r="E43" s="405">
        <f>C5</f>
        <v>24.64</v>
      </c>
      <c r="F43" s="405">
        <f>C5</f>
        <v>24.64</v>
      </c>
      <c r="G43" s="405">
        <f>C5</f>
        <v>24.64</v>
      </c>
      <c r="H43" s="405">
        <f>C5</f>
        <v>24.64</v>
      </c>
      <c r="I43" s="406">
        <f>C5</f>
        <v>24.64</v>
      </c>
      <c r="J43" s="90"/>
      <c r="K43" s="90"/>
      <c r="L43" s="90"/>
      <c r="M43" s="90"/>
      <c r="N43" s="90"/>
    </row>
    <row r="44" spans="2:14">
      <c r="B44" s="276" t="s">
        <v>604</v>
      </c>
      <c r="C44" s="405">
        <f t="shared" ref="C44:I44" si="12">C36*C42</f>
        <v>0</v>
      </c>
      <c r="D44" s="405">
        <f t="shared" si="12"/>
        <v>0</v>
      </c>
      <c r="E44" s="405">
        <f t="shared" si="12"/>
        <v>0</v>
      </c>
      <c r="F44" s="405">
        <f t="shared" si="12"/>
        <v>0</v>
      </c>
      <c r="G44" s="405">
        <f t="shared" si="12"/>
        <v>0</v>
      </c>
      <c r="H44" s="405">
        <f t="shared" si="12"/>
        <v>0</v>
      </c>
      <c r="I44" s="406">
        <f t="shared" si="12"/>
        <v>0</v>
      </c>
      <c r="J44" s="90"/>
      <c r="K44" s="90"/>
      <c r="L44" s="90"/>
      <c r="M44" s="90"/>
      <c r="N44" s="90"/>
    </row>
    <row r="45" spans="2:14">
      <c r="B45" s="276" t="s">
        <v>605</v>
      </c>
      <c r="C45" s="405">
        <f t="shared" ref="C45:I45" si="13">C36*C43</f>
        <v>0</v>
      </c>
      <c r="D45" s="405">
        <f t="shared" si="13"/>
        <v>0</v>
      </c>
      <c r="E45" s="405">
        <f t="shared" si="13"/>
        <v>0</v>
      </c>
      <c r="F45" s="405">
        <f t="shared" si="13"/>
        <v>0</v>
      </c>
      <c r="G45" s="405">
        <f t="shared" si="13"/>
        <v>0</v>
      </c>
      <c r="H45" s="405">
        <f t="shared" si="13"/>
        <v>0</v>
      </c>
      <c r="I45" s="406">
        <f t="shared" si="13"/>
        <v>0</v>
      </c>
      <c r="J45" s="90"/>
      <c r="K45" s="90"/>
      <c r="L45" s="90"/>
      <c r="M45" s="90"/>
      <c r="N45" s="90"/>
    </row>
    <row r="46" spans="2:14">
      <c r="B46" s="276" t="s">
        <v>606</v>
      </c>
      <c r="C46" s="405">
        <f t="shared" ref="C46:I47" si="14">C44/1000</f>
        <v>0</v>
      </c>
      <c r="D46" s="405">
        <f t="shared" si="14"/>
        <v>0</v>
      </c>
      <c r="E46" s="405">
        <f t="shared" si="14"/>
        <v>0</v>
      </c>
      <c r="F46" s="405">
        <f t="shared" si="14"/>
        <v>0</v>
      </c>
      <c r="G46" s="405">
        <f t="shared" si="14"/>
        <v>0</v>
      </c>
      <c r="H46" s="405">
        <f t="shared" si="14"/>
        <v>0</v>
      </c>
      <c r="I46" s="406">
        <f t="shared" si="14"/>
        <v>0</v>
      </c>
      <c r="J46" s="90"/>
      <c r="K46" s="90"/>
      <c r="L46" s="90"/>
      <c r="M46" s="90"/>
      <c r="N46" s="90"/>
    </row>
    <row r="47" spans="2:14" ht="15" thickBot="1">
      <c r="B47" s="278" t="s">
        <v>607</v>
      </c>
      <c r="C47" s="126">
        <f t="shared" si="14"/>
        <v>0</v>
      </c>
      <c r="D47" s="126">
        <f t="shared" si="14"/>
        <v>0</v>
      </c>
      <c r="E47" s="126">
        <f t="shared" si="14"/>
        <v>0</v>
      </c>
      <c r="F47" s="126">
        <f t="shared" si="14"/>
        <v>0</v>
      </c>
      <c r="G47" s="126">
        <f t="shared" si="14"/>
        <v>0</v>
      </c>
      <c r="H47" s="126">
        <f t="shared" si="14"/>
        <v>0</v>
      </c>
      <c r="I47" s="407">
        <f t="shared" si="14"/>
        <v>0</v>
      </c>
      <c r="J47" s="90"/>
      <c r="K47" s="90"/>
      <c r="L47" s="90"/>
      <c r="M47" s="90"/>
      <c r="N47" s="90"/>
    </row>
    <row r="48" spans="2:14" ht="15.6" thickTop="1" thickBot="1">
      <c r="B48" s="286" t="s">
        <v>608</v>
      </c>
      <c r="C48" s="436">
        <f t="shared" ref="C48:I48" si="15">C46+C47</f>
        <v>0</v>
      </c>
      <c r="D48" s="436">
        <f t="shared" si="15"/>
        <v>0</v>
      </c>
      <c r="E48" s="437">
        <f t="shared" si="15"/>
        <v>0</v>
      </c>
      <c r="F48" s="437">
        <f t="shared" si="15"/>
        <v>0</v>
      </c>
      <c r="G48" s="437">
        <f t="shared" si="15"/>
        <v>0</v>
      </c>
      <c r="H48" s="437">
        <f t="shared" si="15"/>
        <v>0</v>
      </c>
      <c r="I48" s="438">
        <f t="shared" si="15"/>
        <v>0</v>
      </c>
      <c r="J48" s="90"/>
      <c r="K48" s="90"/>
      <c r="L48" s="90"/>
      <c r="M48" s="90"/>
      <c r="N48" s="90"/>
    </row>
    <row r="49" spans="2:14" ht="15" thickBot="1">
      <c r="B49" s="283" t="s">
        <v>609</v>
      </c>
      <c r="C49" s="284"/>
      <c r="D49" s="284"/>
      <c r="E49" s="284"/>
      <c r="F49" s="439"/>
      <c r="G49" s="287"/>
      <c r="H49" s="287"/>
      <c r="I49" s="440"/>
      <c r="J49" s="90"/>
      <c r="K49" s="90"/>
      <c r="L49" s="90"/>
      <c r="M49" s="90"/>
      <c r="N49" s="90"/>
    </row>
    <row r="50" spans="2:14">
      <c r="B50" s="282" t="s">
        <v>610</v>
      </c>
      <c r="C50" s="441"/>
      <c r="D50" s="441"/>
      <c r="E50" s="441"/>
      <c r="F50" s="442">
        <v>1</v>
      </c>
      <c r="G50" s="443"/>
      <c r="H50" s="443"/>
      <c r="I50" s="444"/>
      <c r="J50" s="90"/>
      <c r="K50" s="90"/>
      <c r="L50" s="90"/>
      <c r="M50" s="90"/>
      <c r="N50" s="90"/>
    </row>
    <row r="51" spans="2:14" ht="16.899999999999999" thickBot="1">
      <c r="B51" s="278" t="s">
        <v>611</v>
      </c>
      <c r="C51" s="93">
        <f>C8</f>
        <v>365.87</v>
      </c>
      <c r="D51" s="126">
        <f>C2</f>
        <v>400</v>
      </c>
      <c r="E51" s="126">
        <f>C3</f>
        <v>56.7</v>
      </c>
      <c r="F51" s="126">
        <f>C4</f>
        <v>53.43</v>
      </c>
      <c r="G51" s="127">
        <f>C5</f>
        <v>24.64</v>
      </c>
      <c r="H51" s="128">
        <f>C6</f>
        <v>13.17</v>
      </c>
      <c r="I51" s="294">
        <f>C7</f>
        <v>1050</v>
      </c>
      <c r="J51" s="90"/>
      <c r="K51" s="90"/>
      <c r="L51" s="90"/>
      <c r="M51" s="90"/>
      <c r="N51" s="90"/>
    </row>
    <row r="52" spans="2:14" s="92" customFormat="1" ht="15.6" thickTop="1" thickBot="1">
      <c r="B52" s="279" t="s">
        <v>612</v>
      </c>
      <c r="C52" s="129">
        <f t="shared" ref="C52:I52" si="16">C51*C22/1000</f>
        <v>0</v>
      </c>
      <c r="D52" s="129">
        <f t="shared" si="16"/>
        <v>0</v>
      </c>
      <c r="E52" s="129">
        <f t="shared" si="16"/>
        <v>0</v>
      </c>
      <c r="F52" s="129">
        <f t="shared" si="16"/>
        <v>0</v>
      </c>
      <c r="G52" s="129">
        <f t="shared" si="16"/>
        <v>0</v>
      </c>
      <c r="H52" s="129">
        <f t="shared" si="16"/>
        <v>0</v>
      </c>
      <c r="I52" s="295">
        <f t="shared" si="16"/>
        <v>0</v>
      </c>
      <c r="J52" s="91"/>
      <c r="K52" s="91"/>
      <c r="L52" s="91"/>
      <c r="M52" s="91"/>
      <c r="N52" s="91"/>
    </row>
    <row r="53" spans="2:14" ht="15.6" thickTop="1" thickBot="1">
      <c r="B53" s="286" t="s">
        <v>613</v>
      </c>
      <c r="C53" s="761">
        <f>C52*C23/1000</f>
        <v>0</v>
      </c>
      <c r="D53" s="762">
        <f t="shared" ref="D53:I53" si="17">D52*1000</f>
        <v>0</v>
      </c>
      <c r="E53" s="762">
        <f t="shared" si="17"/>
        <v>0</v>
      </c>
      <c r="F53" s="762">
        <f t="shared" si="17"/>
        <v>0</v>
      </c>
      <c r="G53" s="762">
        <f t="shared" si="17"/>
        <v>0</v>
      </c>
      <c r="H53" s="762">
        <f t="shared" si="17"/>
        <v>0</v>
      </c>
      <c r="I53" s="763">
        <f t="shared" si="17"/>
        <v>0</v>
      </c>
      <c r="J53" s="90"/>
      <c r="K53" s="90"/>
      <c r="L53" s="90"/>
      <c r="M53" s="90"/>
      <c r="N53" s="90"/>
    </row>
    <row r="54" spans="2:14" ht="15" thickBot="1">
      <c r="B54" s="291"/>
      <c r="C54" s="284"/>
      <c r="D54" s="284"/>
      <c r="E54" s="284"/>
      <c r="F54" s="287"/>
      <c r="G54" s="287"/>
      <c r="H54" s="284"/>
      <c r="I54" s="292"/>
      <c r="J54" s="90"/>
      <c r="K54" s="90"/>
      <c r="L54" s="90"/>
      <c r="M54" s="90"/>
      <c r="N54" s="90"/>
    </row>
    <row r="55" spans="2:14" ht="16.149999999999999" thickBot="1">
      <c r="B55" s="288" t="s">
        <v>614</v>
      </c>
      <c r="C55" s="289">
        <f t="shared" ref="C55:I55" si="18">C53+C48</f>
        <v>0</v>
      </c>
      <c r="D55" s="289">
        <f t="shared" si="18"/>
        <v>0</v>
      </c>
      <c r="E55" s="289">
        <f t="shared" si="18"/>
        <v>0</v>
      </c>
      <c r="F55" s="289">
        <f t="shared" si="18"/>
        <v>0</v>
      </c>
      <c r="G55" s="289">
        <f t="shared" si="18"/>
        <v>0</v>
      </c>
      <c r="H55" s="289">
        <f t="shared" si="18"/>
        <v>0</v>
      </c>
      <c r="I55" s="290">
        <f t="shared" si="18"/>
        <v>0</v>
      </c>
      <c r="J55" s="90"/>
      <c r="K55" s="90"/>
      <c r="L55" s="90"/>
      <c r="M55" s="90"/>
      <c r="N55" s="90"/>
    </row>
    <row r="56" spans="2:14">
      <c r="H56" s="90"/>
      <c r="I56" s="90"/>
      <c r="J56" s="90"/>
      <c r="K56" s="90"/>
      <c r="L56" s="90"/>
      <c r="M56" s="90"/>
    </row>
    <row r="57" spans="2:14">
      <c r="H57" s="90"/>
      <c r="I57" s="90"/>
      <c r="J57" s="90"/>
      <c r="K57" s="90"/>
      <c r="L57" s="90"/>
      <c r="M57" s="90"/>
    </row>
    <row r="58" spans="2:14">
      <c r="B58" s="90"/>
      <c r="C58" s="90"/>
      <c r="D58" s="90"/>
      <c r="E58" s="90"/>
      <c r="F58" s="90"/>
      <c r="J58" s="90"/>
      <c r="K58" s="90"/>
      <c r="L58" s="90"/>
      <c r="M58" s="90"/>
      <c r="N58" s="90"/>
    </row>
    <row r="59" spans="2:14">
      <c r="F59" s="90"/>
      <c r="J59" s="90"/>
      <c r="K59" s="90"/>
      <c r="L59" s="90"/>
      <c r="M59" s="90"/>
    </row>
    <row r="60" spans="2:14">
      <c r="F60" s="90"/>
      <c r="J60" s="90"/>
      <c r="K60" s="90"/>
      <c r="L60" s="90"/>
      <c r="M60" s="90"/>
    </row>
    <row r="61" spans="2:14">
      <c r="F61" s="90"/>
      <c r="J61" s="90"/>
      <c r="K61" s="90"/>
      <c r="L61" s="90"/>
      <c r="M61" s="90"/>
      <c r="N61" s="90"/>
    </row>
    <row r="62" spans="2:14">
      <c r="F62" s="90"/>
      <c r="J62" s="90"/>
      <c r="K62" s="90"/>
      <c r="L62" s="90"/>
      <c r="M62" s="90"/>
      <c r="N62" s="90"/>
    </row>
    <row r="63" spans="2:14">
      <c r="F63" s="90"/>
      <c r="J63" s="90"/>
      <c r="K63" s="90"/>
      <c r="L63" s="90"/>
      <c r="M63" s="90"/>
    </row>
    <row r="64" spans="2:14">
      <c r="F64" s="90"/>
      <c r="G64" s="90"/>
      <c r="H64" s="90"/>
      <c r="I64" s="90"/>
      <c r="J64" s="90"/>
      <c r="K64" s="90"/>
      <c r="L64" s="90"/>
      <c r="M64" s="90"/>
    </row>
    <row r="65" spans="2:14">
      <c r="F65" s="90"/>
      <c r="G65" s="90"/>
      <c r="H65" s="90"/>
      <c r="I65" s="90"/>
      <c r="J65" s="90"/>
      <c r="K65" s="90"/>
      <c r="L65" s="90"/>
      <c r="M65" s="90"/>
    </row>
    <row r="66" spans="2:14">
      <c r="F66" s="90"/>
      <c r="G66" s="90"/>
      <c r="H66" s="90"/>
      <c r="I66" s="90"/>
      <c r="J66" s="90"/>
      <c r="K66" s="90"/>
      <c r="L66" s="90"/>
      <c r="M66" s="90"/>
      <c r="N66" s="90"/>
    </row>
    <row r="67" spans="2:14">
      <c r="F67" s="90"/>
      <c r="G67" s="90"/>
      <c r="H67" s="90"/>
      <c r="I67" s="90"/>
      <c r="J67" s="90"/>
      <c r="K67" s="90"/>
      <c r="L67" s="90"/>
      <c r="M67" s="90"/>
    </row>
    <row r="68" spans="2:14">
      <c r="B68" s="91"/>
      <c r="C68" s="90"/>
      <c r="E68" s="90"/>
      <c r="F68" s="90"/>
      <c r="G68" s="90"/>
      <c r="H68" s="90"/>
      <c r="I68" s="90"/>
      <c r="J68" s="90"/>
      <c r="K68" s="90"/>
      <c r="L68" s="90"/>
      <c r="M68" s="90"/>
    </row>
    <row r="69" spans="2:14">
      <c r="B69" s="90"/>
      <c r="C69" s="90"/>
      <c r="D69" s="90"/>
      <c r="E69" s="90"/>
      <c r="F69" s="90"/>
      <c r="G69" s="90"/>
      <c r="H69" s="90"/>
      <c r="I69" s="90"/>
      <c r="J69" s="90"/>
      <c r="K69" s="90"/>
      <c r="L69" s="90"/>
      <c r="M69" s="90"/>
      <c r="N69" s="90"/>
    </row>
    <row r="70" spans="2:14">
      <c r="B70" s="90"/>
      <c r="C70" s="90"/>
      <c r="E70" s="90"/>
      <c r="F70" s="90"/>
      <c r="G70" s="90"/>
      <c r="H70" s="90"/>
      <c r="I70" s="90"/>
      <c r="J70" s="90"/>
      <c r="K70" s="90"/>
      <c r="L70" s="90"/>
      <c r="M70" s="90"/>
      <c r="N70" s="90"/>
    </row>
    <row r="71" spans="2:14">
      <c r="B71" s="91"/>
      <c r="C71" s="90"/>
      <c r="E71" s="90"/>
      <c r="F71" s="90"/>
      <c r="G71" s="90"/>
      <c r="H71" s="90"/>
      <c r="I71" s="90"/>
      <c r="J71" s="90"/>
      <c r="K71" s="90"/>
      <c r="L71" s="90"/>
      <c r="M71" s="90"/>
    </row>
    <row r="72" spans="2:14">
      <c r="B72" s="90"/>
      <c r="C72" s="90"/>
      <c r="D72" s="90"/>
      <c r="E72" s="90"/>
      <c r="F72" s="90"/>
      <c r="G72" s="90"/>
      <c r="H72" s="90"/>
      <c r="I72" s="90"/>
      <c r="J72" s="90"/>
      <c r="K72" s="90"/>
      <c r="L72" s="90"/>
      <c r="M72" s="90"/>
      <c r="N72" s="90"/>
    </row>
  </sheetData>
  <sheetProtection algorithmName="SHA-512" hashValue="SL5+3G+pi8mfQtZBXHO1D4Io38/JgvcpM+zE2975QgY5NBWqI0C4B1AlXcowqAC4tgXpx8ttQaFlO6ihqXBYDA==" saltValue="fy4qpki/i5jjUIxC6Nd55w==" spinCount="100000" sheet="1" objects="1" scenarios="1"/>
  <hyperlinks>
    <hyperlink ref="J31" r:id="rId1" display="http://www.ytl.fi/files/146/Turun_yliopiston_Logistiikkaselvitys-2018-FINAL.pdf" xr:uid="{801581B2-443F-43EC-AB6E-3AAB99212263}"/>
  </hyperlinks>
  <pageMargins left="0.7" right="0.7" top="0.75" bottom="0.75" header="0.3" footer="0.3"/>
  <pageSetup orientation="portrait"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3C6922-F690-44AE-97E0-8F62E622BBFE}">
  <dimension ref="B1:N72"/>
  <sheetViews>
    <sheetView zoomScale="102" zoomScaleNormal="100" workbookViewId="0">
      <selection activeCell="B2" sqref="B2"/>
    </sheetView>
  </sheetViews>
  <sheetFormatPr defaultColWidth="11.42578125" defaultRowHeight="14.45"/>
  <cols>
    <col min="1" max="1" width="2.7109375" style="89" customWidth="1"/>
    <col min="2" max="2" width="71.7109375" style="89" customWidth="1"/>
    <col min="3" max="3" width="24.7109375" style="89" customWidth="1"/>
    <col min="4" max="8" width="18" style="89" customWidth="1"/>
    <col min="9" max="9" width="28.42578125" style="89" customWidth="1"/>
    <col min="10" max="16384" width="11.42578125" style="89"/>
  </cols>
  <sheetData>
    <row r="1" spans="2:4">
      <c r="B1" s="419" t="s">
        <v>515</v>
      </c>
      <c r="C1" s="420" t="s">
        <v>155</v>
      </c>
      <c r="D1" s="421" t="s">
        <v>158</v>
      </c>
    </row>
    <row r="2" spans="2:4">
      <c r="B2" s="108" t="s">
        <v>232</v>
      </c>
      <c r="C2" s="100">
        <f>'Päästökertoimet ja muut'!C34</f>
        <v>400</v>
      </c>
      <c r="D2" s="109" t="s">
        <v>562</v>
      </c>
    </row>
    <row r="3" spans="2:4">
      <c r="B3" s="110" t="s">
        <v>228</v>
      </c>
      <c r="C3" s="94">
        <f>'Päästökertoimet ja muut'!C31</f>
        <v>56.7</v>
      </c>
      <c r="D3" s="109" t="s">
        <v>562</v>
      </c>
    </row>
    <row r="4" spans="2:4">
      <c r="B4" s="111" t="s">
        <v>217</v>
      </c>
      <c r="C4" s="99">
        <f>'Päästökertoimet ja muut'!C26</f>
        <v>53.43</v>
      </c>
      <c r="D4" s="109" t="s">
        <v>562</v>
      </c>
    </row>
    <row r="5" spans="2:4">
      <c r="B5" s="110" t="s">
        <v>227</v>
      </c>
      <c r="C5" s="94">
        <f>'Päästökertoimet ja muut'!C30</f>
        <v>24.64</v>
      </c>
      <c r="D5" s="109" t="s">
        <v>562</v>
      </c>
    </row>
    <row r="6" spans="2:4">
      <c r="B6" s="110" t="s">
        <v>226</v>
      </c>
      <c r="C6" s="94">
        <f>'Päästökertoimet ja muut'!C29</f>
        <v>13.17</v>
      </c>
      <c r="D6" s="109" t="s">
        <v>562</v>
      </c>
    </row>
    <row r="7" spans="2:4">
      <c r="B7" s="110" t="s">
        <v>563</v>
      </c>
      <c r="C7" s="101">
        <f>'Päästökertoimet ja muut'!C28</f>
        <v>1050</v>
      </c>
      <c r="D7" s="109" t="s">
        <v>562</v>
      </c>
    </row>
    <row r="8" spans="2:4">
      <c r="B8" s="112" t="s">
        <v>229</v>
      </c>
      <c r="C8" s="98">
        <f>'Päästökertoimet ja muut'!C32</f>
        <v>365.87</v>
      </c>
      <c r="D8" s="113" t="s">
        <v>562</v>
      </c>
    </row>
    <row r="9" spans="2:4">
      <c r="B9" s="112" t="s">
        <v>564</v>
      </c>
      <c r="C9" s="98">
        <f>'Päästökertoimet ja muut'!C52</f>
        <v>70</v>
      </c>
      <c r="D9" s="113" t="s">
        <v>265</v>
      </c>
    </row>
    <row r="10" spans="2:4">
      <c r="B10" s="112" t="s">
        <v>565</v>
      </c>
      <c r="C10" s="98">
        <f>'Päästökertoimet ja muut'!C51</f>
        <v>17.399999999999999</v>
      </c>
      <c r="D10" s="113" t="s">
        <v>265</v>
      </c>
    </row>
    <row r="11" spans="2:4">
      <c r="B11" s="112" t="s">
        <v>270</v>
      </c>
      <c r="C11" s="98">
        <f>'Päästökertoimet ja muut'!C53</f>
        <v>6.5</v>
      </c>
      <c r="D11" s="113" t="s">
        <v>271</v>
      </c>
    </row>
    <row r="12" spans="2:4" ht="15" thickBot="1">
      <c r="B12" s="114" t="s">
        <v>273</v>
      </c>
      <c r="C12" s="115">
        <f>'Päästökertoimet ja muut'!C54</f>
        <v>9.1</v>
      </c>
      <c r="D12" s="116" t="s">
        <v>271</v>
      </c>
    </row>
    <row r="14" spans="2:4" ht="15" thickBot="1"/>
    <row r="15" spans="2:4" ht="15.6">
      <c r="B15" s="117" t="s">
        <v>566</v>
      </c>
      <c r="C15" s="118">
        <f>SUM(C48:I48)</f>
        <v>0</v>
      </c>
      <c r="D15" s="119" t="s">
        <v>567</v>
      </c>
    </row>
    <row r="16" spans="2:4" ht="16.149999999999999" thickBot="1">
      <c r="B16" s="120" t="s">
        <v>568</v>
      </c>
      <c r="C16" s="97">
        <f>SUM(C53:I53)</f>
        <v>0</v>
      </c>
      <c r="D16" s="121" t="s">
        <v>567</v>
      </c>
    </row>
    <row r="17" spans="2:14" s="92" customFormat="1" ht="16.899999999999999" thickTop="1" thickBot="1">
      <c r="B17" s="122" t="s">
        <v>569</v>
      </c>
      <c r="C17" s="123">
        <f>SUM(C15:C16)</f>
        <v>0</v>
      </c>
      <c r="D17" s="124" t="s">
        <v>567</v>
      </c>
      <c r="E17" s="91"/>
      <c r="F17" s="91"/>
      <c r="G17" s="91"/>
      <c r="H17" s="91"/>
      <c r="I17" s="91"/>
      <c r="J17" s="96"/>
      <c r="K17" s="91"/>
      <c r="L17" s="91"/>
      <c r="M17" s="91"/>
      <c r="N17" s="91"/>
    </row>
    <row r="18" spans="2:14" ht="15" thickBot="1">
      <c r="D18" s="90"/>
      <c r="E18" s="90"/>
      <c r="F18" s="90"/>
      <c r="G18" s="90"/>
      <c r="H18" s="90"/>
      <c r="I18" s="90"/>
      <c r="J18" s="95"/>
      <c r="K18" s="90"/>
      <c r="L18" s="90"/>
      <c r="M18" s="90"/>
      <c r="N18" s="90"/>
    </row>
    <row r="19" spans="2:14">
      <c r="B19" s="422"/>
      <c r="C19" s="423" t="s">
        <v>570</v>
      </c>
      <c r="D19" s="423" t="s">
        <v>571</v>
      </c>
      <c r="E19" s="423" t="s">
        <v>572</v>
      </c>
      <c r="F19" s="423" t="s">
        <v>573</v>
      </c>
      <c r="G19" s="423" t="s">
        <v>574</v>
      </c>
      <c r="H19" s="423" t="s">
        <v>575</v>
      </c>
      <c r="I19" s="424" t="s">
        <v>576</v>
      </c>
      <c r="J19" s="91"/>
      <c r="K19" s="90"/>
      <c r="L19" s="90"/>
      <c r="M19" s="90"/>
      <c r="N19" s="90"/>
    </row>
    <row r="20" spans="2:14" ht="15" thickBot="1">
      <c r="B20" s="425" t="s">
        <v>577</v>
      </c>
      <c r="C20" s="426" t="s">
        <v>578</v>
      </c>
      <c r="D20" s="427" t="s">
        <v>579</v>
      </c>
      <c r="E20" s="427"/>
      <c r="F20" s="427" t="s">
        <v>580</v>
      </c>
      <c r="G20" s="427"/>
      <c r="H20" s="427"/>
      <c r="I20" s="428"/>
      <c r="J20" s="90"/>
      <c r="K20" s="90"/>
      <c r="L20" s="90"/>
      <c r="M20" s="90"/>
      <c r="N20" s="90"/>
    </row>
    <row r="21" spans="2:14">
      <c r="B21" s="280" t="s">
        <v>581</v>
      </c>
      <c r="C21" s="281"/>
      <c r="D21" s="281">
        <f>Tausta_Jätteet!B6</f>
        <v>0</v>
      </c>
      <c r="E21" s="281"/>
      <c r="F21" s="281"/>
      <c r="G21" s="281"/>
      <c r="H21" s="281"/>
      <c r="I21" s="293"/>
      <c r="J21" s="90"/>
      <c r="K21" s="90"/>
      <c r="L21" s="90"/>
      <c r="M21" s="90"/>
      <c r="N21" s="90"/>
    </row>
    <row r="22" spans="2:14" ht="15" thickBot="1">
      <c r="B22" s="296" t="s">
        <v>582</v>
      </c>
      <c r="C22" s="297">
        <f t="shared" ref="C22:I22" si="0">C21/1000</f>
        <v>0</v>
      </c>
      <c r="D22" s="297">
        <f t="shared" si="0"/>
        <v>0</v>
      </c>
      <c r="E22" s="297">
        <f t="shared" si="0"/>
        <v>0</v>
      </c>
      <c r="F22" s="297">
        <f t="shared" si="0"/>
        <v>0</v>
      </c>
      <c r="G22" s="297">
        <f t="shared" si="0"/>
        <v>0</v>
      </c>
      <c r="H22" s="297">
        <f t="shared" si="0"/>
        <v>0</v>
      </c>
      <c r="I22" s="298">
        <f t="shared" si="0"/>
        <v>0</v>
      </c>
      <c r="J22" s="90"/>
      <c r="K22" s="90"/>
      <c r="L22" s="90"/>
      <c r="M22" s="90"/>
      <c r="N22" s="90"/>
    </row>
    <row r="23" spans="2:14" ht="15" thickBot="1">
      <c r="B23" s="283" t="s">
        <v>583</v>
      </c>
      <c r="C23" s="284"/>
      <c r="D23" s="284"/>
      <c r="E23" s="284"/>
      <c r="F23" s="284"/>
      <c r="G23" s="284"/>
      <c r="H23" s="284"/>
      <c r="I23" s="292"/>
      <c r="J23" s="90"/>
      <c r="K23" s="90"/>
      <c r="L23" s="90"/>
      <c r="M23" s="90"/>
      <c r="N23" s="90"/>
    </row>
    <row r="24" spans="2:14">
      <c r="B24" s="280" t="s">
        <v>584</v>
      </c>
      <c r="C24" s="429">
        <f t="shared" ref="C24:I24" si="1">C22/(C28*C31)</f>
        <v>0</v>
      </c>
      <c r="D24" s="429">
        <f t="shared" si="1"/>
        <v>0</v>
      </c>
      <c r="E24" s="430">
        <f t="shared" si="1"/>
        <v>0</v>
      </c>
      <c r="F24" s="430">
        <f t="shared" si="1"/>
        <v>0</v>
      </c>
      <c r="G24" s="430">
        <f t="shared" si="1"/>
        <v>0</v>
      </c>
      <c r="H24" s="430">
        <f t="shared" si="1"/>
        <v>0</v>
      </c>
      <c r="I24" s="431">
        <f t="shared" si="1"/>
        <v>0</v>
      </c>
      <c r="J24" s="90"/>
      <c r="K24" s="90"/>
      <c r="L24" s="90"/>
      <c r="M24" s="90"/>
      <c r="N24" s="90"/>
    </row>
    <row r="25" spans="2:14">
      <c r="B25" s="276" t="s">
        <v>585</v>
      </c>
      <c r="C25" s="408">
        <v>15</v>
      </c>
      <c r="D25" s="408">
        <v>15</v>
      </c>
      <c r="E25" s="408">
        <v>15</v>
      </c>
      <c r="F25" s="408">
        <v>15</v>
      </c>
      <c r="G25" s="408">
        <v>15</v>
      </c>
      <c r="H25" s="408">
        <v>15</v>
      </c>
      <c r="I25" s="409">
        <v>15</v>
      </c>
      <c r="J25" s="90"/>
      <c r="K25" s="90"/>
      <c r="L25" s="90"/>
      <c r="M25" s="90"/>
      <c r="N25" s="90"/>
    </row>
    <row r="26" spans="2:14">
      <c r="B26" s="276" t="s">
        <v>586</v>
      </c>
      <c r="C26" s="405">
        <f t="shared" ref="C26:I26" si="2">$C$11</f>
        <v>6.5</v>
      </c>
      <c r="D26" s="405">
        <f t="shared" si="2"/>
        <v>6.5</v>
      </c>
      <c r="E26" s="405">
        <f t="shared" si="2"/>
        <v>6.5</v>
      </c>
      <c r="F26" s="405">
        <f t="shared" si="2"/>
        <v>6.5</v>
      </c>
      <c r="G26" s="405">
        <f t="shared" si="2"/>
        <v>6.5</v>
      </c>
      <c r="H26" s="405">
        <f t="shared" si="2"/>
        <v>6.5</v>
      </c>
      <c r="I26" s="406">
        <f t="shared" si="2"/>
        <v>6.5</v>
      </c>
      <c r="J26" s="90"/>
      <c r="K26" s="90"/>
      <c r="L26" s="90"/>
      <c r="M26" s="90"/>
      <c r="N26" s="90"/>
    </row>
    <row r="27" spans="2:14">
      <c r="B27" s="276" t="s">
        <v>587</v>
      </c>
      <c r="C27" s="405">
        <f t="shared" ref="C27:I27" si="3">$C$12</f>
        <v>9.1</v>
      </c>
      <c r="D27" s="405">
        <f t="shared" si="3"/>
        <v>9.1</v>
      </c>
      <c r="E27" s="405">
        <f t="shared" si="3"/>
        <v>9.1</v>
      </c>
      <c r="F27" s="405">
        <f t="shared" si="3"/>
        <v>9.1</v>
      </c>
      <c r="G27" s="405">
        <f t="shared" si="3"/>
        <v>9.1</v>
      </c>
      <c r="H27" s="405">
        <f t="shared" si="3"/>
        <v>9.1</v>
      </c>
      <c r="I27" s="406">
        <f t="shared" si="3"/>
        <v>9.1</v>
      </c>
      <c r="J27" s="90"/>
      <c r="K27" s="90"/>
      <c r="L27" s="90"/>
      <c r="M27" s="90"/>
      <c r="N27" s="90"/>
    </row>
    <row r="28" spans="2:14">
      <c r="B28" s="276" t="s">
        <v>588</v>
      </c>
      <c r="C28" s="408">
        <v>9</v>
      </c>
      <c r="D28" s="408">
        <v>9</v>
      </c>
      <c r="E28" s="408">
        <v>9</v>
      </c>
      <c r="F28" s="408">
        <v>9</v>
      </c>
      <c r="G28" s="408">
        <v>9</v>
      </c>
      <c r="H28" s="408">
        <v>9</v>
      </c>
      <c r="I28" s="409">
        <v>9</v>
      </c>
      <c r="J28" s="90"/>
      <c r="K28" s="90"/>
      <c r="L28" s="90"/>
      <c r="M28" s="90"/>
      <c r="N28" s="90"/>
    </row>
    <row r="29" spans="2:14">
      <c r="B29" s="276" t="s">
        <v>589</v>
      </c>
      <c r="C29" s="408">
        <f t="shared" ref="C29:I29" si="4">C30-C28</f>
        <v>6</v>
      </c>
      <c r="D29" s="408">
        <f t="shared" si="4"/>
        <v>6</v>
      </c>
      <c r="E29" s="408">
        <f t="shared" si="4"/>
        <v>6</v>
      </c>
      <c r="F29" s="408">
        <f t="shared" si="4"/>
        <v>6</v>
      </c>
      <c r="G29" s="408">
        <f t="shared" si="4"/>
        <v>6</v>
      </c>
      <c r="H29" s="408">
        <f t="shared" si="4"/>
        <v>6</v>
      </c>
      <c r="I29" s="409">
        <f t="shared" si="4"/>
        <v>6</v>
      </c>
      <c r="J29" s="90"/>
      <c r="K29" s="90"/>
      <c r="L29" s="90"/>
      <c r="M29" s="90"/>
      <c r="N29" s="90"/>
    </row>
    <row r="30" spans="2:14">
      <c r="B30" s="276" t="s">
        <v>590</v>
      </c>
      <c r="C30" s="408">
        <v>15</v>
      </c>
      <c r="D30" s="408">
        <v>15</v>
      </c>
      <c r="E30" s="408">
        <v>15</v>
      </c>
      <c r="F30" s="408">
        <v>15</v>
      </c>
      <c r="G30" s="408">
        <v>15</v>
      </c>
      <c r="H30" s="408">
        <v>15</v>
      </c>
      <c r="I30" s="409">
        <v>15</v>
      </c>
      <c r="J30" s="90"/>
      <c r="K30" s="90"/>
      <c r="L30" s="90"/>
      <c r="M30" s="90"/>
      <c r="N30" s="90"/>
    </row>
    <row r="31" spans="2:14">
      <c r="B31" s="276" t="s">
        <v>591</v>
      </c>
      <c r="C31" s="432">
        <v>0.9</v>
      </c>
      <c r="D31" s="432">
        <v>0.9</v>
      </c>
      <c r="E31" s="432">
        <v>0.9</v>
      </c>
      <c r="F31" s="432">
        <v>0.9</v>
      </c>
      <c r="G31" s="432">
        <v>0.9</v>
      </c>
      <c r="H31" s="432">
        <v>0.9</v>
      </c>
      <c r="I31" s="433">
        <v>0.9</v>
      </c>
      <c r="J31" s="125" t="s">
        <v>592</v>
      </c>
      <c r="K31" s="90"/>
      <c r="L31" s="90"/>
      <c r="M31" s="90"/>
      <c r="N31" s="90"/>
    </row>
    <row r="32" spans="2:14">
      <c r="B32" s="276" t="s">
        <v>593</v>
      </c>
      <c r="C32" s="408">
        <f t="shared" ref="C32:I32" si="5">C27-C26</f>
        <v>2.5999999999999996</v>
      </c>
      <c r="D32" s="408">
        <f t="shared" si="5"/>
        <v>2.5999999999999996</v>
      </c>
      <c r="E32" s="408">
        <f t="shared" si="5"/>
        <v>2.5999999999999996</v>
      </c>
      <c r="F32" s="408">
        <f t="shared" si="5"/>
        <v>2.5999999999999996</v>
      </c>
      <c r="G32" s="408">
        <f t="shared" si="5"/>
        <v>2.5999999999999996</v>
      </c>
      <c r="H32" s="408">
        <f t="shared" si="5"/>
        <v>2.5999999999999996</v>
      </c>
      <c r="I32" s="409">
        <f t="shared" si="5"/>
        <v>2.5999999999999996</v>
      </c>
      <c r="J32" s="90"/>
      <c r="K32" s="90"/>
      <c r="L32" s="90"/>
      <c r="M32" s="90"/>
      <c r="N32" s="90"/>
    </row>
    <row r="33" spans="2:14">
      <c r="B33" s="276" t="s">
        <v>594</v>
      </c>
      <c r="C33" s="405">
        <f t="shared" ref="C33:I33" si="6">C32/C28</f>
        <v>0.28888888888888886</v>
      </c>
      <c r="D33" s="405">
        <f t="shared" si="6"/>
        <v>0.28888888888888886</v>
      </c>
      <c r="E33" s="405">
        <f t="shared" si="6"/>
        <v>0.28888888888888886</v>
      </c>
      <c r="F33" s="405">
        <f t="shared" si="6"/>
        <v>0.28888888888888886</v>
      </c>
      <c r="G33" s="405">
        <f t="shared" si="6"/>
        <v>0.28888888888888886</v>
      </c>
      <c r="H33" s="405">
        <f t="shared" si="6"/>
        <v>0.28888888888888886</v>
      </c>
      <c r="I33" s="406">
        <f t="shared" si="6"/>
        <v>0.28888888888888886</v>
      </c>
      <c r="J33" s="90"/>
      <c r="K33" s="90"/>
      <c r="L33" s="90"/>
      <c r="M33" s="90"/>
      <c r="N33" s="90"/>
    </row>
    <row r="34" spans="2:14">
      <c r="B34" s="276" t="s">
        <v>595</v>
      </c>
      <c r="C34" s="405">
        <f t="shared" ref="C34:I34" si="7">C26+C33*C28*C31</f>
        <v>8.84</v>
      </c>
      <c r="D34" s="405">
        <f t="shared" si="7"/>
        <v>8.84</v>
      </c>
      <c r="E34" s="405">
        <f t="shared" si="7"/>
        <v>8.84</v>
      </c>
      <c r="F34" s="405">
        <f t="shared" si="7"/>
        <v>8.84</v>
      </c>
      <c r="G34" s="405">
        <f t="shared" si="7"/>
        <v>8.84</v>
      </c>
      <c r="H34" s="405">
        <f t="shared" si="7"/>
        <v>8.84</v>
      </c>
      <c r="I34" s="406">
        <f t="shared" si="7"/>
        <v>8.84</v>
      </c>
      <c r="J34" s="90"/>
      <c r="K34" s="90"/>
      <c r="L34" s="90"/>
      <c r="M34" s="90"/>
      <c r="N34" s="90"/>
    </row>
    <row r="35" spans="2:14">
      <c r="B35" s="276" t="s">
        <v>596</v>
      </c>
      <c r="C35" s="410">
        <f t="shared" ref="C35:I35" si="8">C34*C24</f>
        <v>0</v>
      </c>
      <c r="D35" s="410">
        <f t="shared" si="8"/>
        <v>0</v>
      </c>
      <c r="E35" s="410">
        <f t="shared" si="8"/>
        <v>0</v>
      </c>
      <c r="F35" s="405">
        <f t="shared" si="8"/>
        <v>0</v>
      </c>
      <c r="G35" s="405">
        <f t="shared" si="8"/>
        <v>0</v>
      </c>
      <c r="H35" s="405">
        <f t="shared" si="8"/>
        <v>0</v>
      </c>
      <c r="I35" s="406">
        <f t="shared" si="8"/>
        <v>0</v>
      </c>
      <c r="J35" s="90"/>
      <c r="K35" s="90"/>
      <c r="L35" s="90"/>
      <c r="M35" s="90"/>
      <c r="N35" s="90"/>
    </row>
    <row r="36" spans="2:14">
      <c r="B36" s="276" t="s">
        <v>597</v>
      </c>
      <c r="C36" s="411">
        <f t="shared" ref="C36:I36" si="9">C38*C25*C34</f>
        <v>0</v>
      </c>
      <c r="D36" s="411">
        <f t="shared" si="9"/>
        <v>0</v>
      </c>
      <c r="E36" s="411">
        <f t="shared" si="9"/>
        <v>0</v>
      </c>
      <c r="F36" s="405">
        <f t="shared" si="9"/>
        <v>0</v>
      </c>
      <c r="G36" s="405">
        <f t="shared" si="9"/>
        <v>0</v>
      </c>
      <c r="H36" s="405">
        <f t="shared" si="9"/>
        <v>0</v>
      </c>
      <c r="I36" s="406">
        <f t="shared" si="9"/>
        <v>0</v>
      </c>
      <c r="J36" s="90"/>
      <c r="K36" s="90"/>
      <c r="L36" s="90"/>
      <c r="M36" s="90"/>
      <c r="N36" s="90"/>
    </row>
    <row r="37" spans="2:14">
      <c r="B37" s="276" t="s">
        <v>598</v>
      </c>
      <c r="C37" s="411">
        <f t="shared" ref="C37:I37" si="10">C35*C25</f>
        <v>0</v>
      </c>
      <c r="D37" s="411">
        <f t="shared" si="10"/>
        <v>0</v>
      </c>
      <c r="E37" s="411">
        <f t="shared" si="10"/>
        <v>0</v>
      </c>
      <c r="F37" s="405">
        <f t="shared" si="10"/>
        <v>0</v>
      </c>
      <c r="G37" s="405">
        <f t="shared" si="10"/>
        <v>0</v>
      </c>
      <c r="H37" s="405">
        <f t="shared" si="10"/>
        <v>0</v>
      </c>
      <c r="I37" s="406">
        <f t="shared" si="10"/>
        <v>0</v>
      </c>
      <c r="J37" s="90"/>
      <c r="K37" s="90"/>
      <c r="L37" s="90"/>
      <c r="M37" s="90"/>
      <c r="N37" s="90"/>
    </row>
    <row r="38" spans="2:14">
      <c r="B38" s="276" t="s">
        <v>599</v>
      </c>
      <c r="C38" s="412">
        <f t="shared" ref="C38:I38" si="11">C22/(C28*C31)</f>
        <v>0</v>
      </c>
      <c r="D38" s="412">
        <f t="shared" si="11"/>
        <v>0</v>
      </c>
      <c r="E38" s="405">
        <f t="shared" si="11"/>
        <v>0</v>
      </c>
      <c r="F38" s="405">
        <f t="shared" si="11"/>
        <v>0</v>
      </c>
      <c r="G38" s="405">
        <f t="shared" si="11"/>
        <v>0</v>
      </c>
      <c r="H38" s="405">
        <f t="shared" si="11"/>
        <v>0</v>
      </c>
      <c r="I38" s="406">
        <f t="shared" si="11"/>
        <v>0</v>
      </c>
      <c r="J38" s="90"/>
      <c r="K38" s="90"/>
      <c r="L38" s="90"/>
      <c r="M38" s="90"/>
      <c r="N38" s="90"/>
    </row>
    <row r="39" spans="2:14">
      <c r="B39" s="275" t="s">
        <v>600</v>
      </c>
      <c r="C39" s="413"/>
      <c r="D39" s="408"/>
      <c r="E39" s="408"/>
      <c r="F39" s="94"/>
      <c r="G39" s="94"/>
      <c r="H39" s="408"/>
      <c r="I39" s="409"/>
      <c r="J39" s="90"/>
      <c r="K39" s="90"/>
      <c r="L39" s="90"/>
      <c r="M39" s="90"/>
      <c r="N39" s="90"/>
    </row>
    <row r="40" spans="2:14" ht="15" thickBot="1">
      <c r="B40" s="285" t="s">
        <v>601</v>
      </c>
      <c r="C40" s="414"/>
      <c r="D40" s="415"/>
      <c r="E40" s="415"/>
      <c r="F40" s="416"/>
      <c r="G40" s="416"/>
      <c r="H40" s="415"/>
      <c r="I40" s="417"/>
      <c r="J40" s="90"/>
      <c r="K40" s="90"/>
      <c r="L40" s="90"/>
      <c r="M40" s="90"/>
      <c r="N40" s="90"/>
    </row>
    <row r="41" spans="2:14" ht="15" thickBot="1">
      <c r="B41" s="277"/>
      <c r="C41" s="90"/>
      <c r="D41" s="90"/>
      <c r="E41" s="90"/>
      <c r="H41" s="90"/>
      <c r="I41" s="418"/>
      <c r="J41" s="90"/>
      <c r="K41" s="90"/>
      <c r="L41" s="90"/>
      <c r="M41" s="90"/>
      <c r="N41" s="90"/>
    </row>
    <row r="42" spans="2:14">
      <c r="B42" s="280" t="s">
        <v>602</v>
      </c>
      <c r="C42" s="281">
        <f>$C$9</f>
        <v>70</v>
      </c>
      <c r="D42" s="434">
        <f>$C$4</f>
        <v>53.43</v>
      </c>
      <c r="E42" s="434">
        <f>C4</f>
        <v>53.43</v>
      </c>
      <c r="F42" s="434">
        <f>C4</f>
        <v>53.43</v>
      </c>
      <c r="G42" s="434">
        <f>C4</f>
        <v>53.43</v>
      </c>
      <c r="H42" s="434">
        <f>C4</f>
        <v>53.43</v>
      </c>
      <c r="I42" s="435">
        <f>C4</f>
        <v>53.43</v>
      </c>
      <c r="J42" s="90"/>
      <c r="K42" s="90"/>
      <c r="L42" s="90"/>
      <c r="M42" s="90"/>
      <c r="N42" s="90"/>
    </row>
    <row r="43" spans="2:14">
      <c r="B43" s="276" t="s">
        <v>603</v>
      </c>
      <c r="C43" s="408">
        <f>$C$10</f>
        <v>17.399999999999999</v>
      </c>
      <c r="D43" s="405">
        <f>$C$5</f>
        <v>24.64</v>
      </c>
      <c r="E43" s="405">
        <f>C5</f>
        <v>24.64</v>
      </c>
      <c r="F43" s="405">
        <f>C5</f>
        <v>24.64</v>
      </c>
      <c r="G43" s="405">
        <f>C5</f>
        <v>24.64</v>
      </c>
      <c r="H43" s="405">
        <f>C5</f>
        <v>24.64</v>
      </c>
      <c r="I43" s="406">
        <f>C5</f>
        <v>24.64</v>
      </c>
      <c r="J43" s="90"/>
      <c r="K43" s="90"/>
      <c r="L43" s="90"/>
      <c r="M43" s="90"/>
      <c r="N43" s="90"/>
    </row>
    <row r="44" spans="2:14">
      <c r="B44" s="276" t="s">
        <v>604</v>
      </c>
      <c r="C44" s="405">
        <f t="shared" ref="C44:I44" si="12">C36*C42</f>
        <v>0</v>
      </c>
      <c r="D44" s="405">
        <f t="shared" si="12"/>
        <v>0</v>
      </c>
      <c r="E44" s="405">
        <f t="shared" si="12"/>
        <v>0</v>
      </c>
      <c r="F44" s="405">
        <f t="shared" si="12"/>
        <v>0</v>
      </c>
      <c r="G44" s="405">
        <f t="shared" si="12"/>
        <v>0</v>
      </c>
      <c r="H44" s="405">
        <f t="shared" si="12"/>
        <v>0</v>
      </c>
      <c r="I44" s="406">
        <f t="shared" si="12"/>
        <v>0</v>
      </c>
      <c r="J44" s="90"/>
      <c r="K44" s="90"/>
      <c r="L44" s="90"/>
      <c r="M44" s="90"/>
      <c r="N44" s="90"/>
    </row>
    <row r="45" spans="2:14">
      <c r="B45" s="276" t="s">
        <v>605</v>
      </c>
      <c r="C45" s="405">
        <f t="shared" ref="C45:I45" si="13">C36*C43</f>
        <v>0</v>
      </c>
      <c r="D45" s="405">
        <f t="shared" si="13"/>
        <v>0</v>
      </c>
      <c r="E45" s="405">
        <f t="shared" si="13"/>
        <v>0</v>
      </c>
      <c r="F45" s="405">
        <f t="shared" si="13"/>
        <v>0</v>
      </c>
      <c r="G45" s="405">
        <f t="shared" si="13"/>
        <v>0</v>
      </c>
      <c r="H45" s="405">
        <f t="shared" si="13"/>
        <v>0</v>
      </c>
      <c r="I45" s="406">
        <f t="shared" si="13"/>
        <v>0</v>
      </c>
      <c r="J45" s="90"/>
      <c r="K45" s="90"/>
      <c r="L45" s="90"/>
      <c r="M45" s="90"/>
      <c r="N45" s="90"/>
    </row>
    <row r="46" spans="2:14">
      <c r="B46" s="276" t="s">
        <v>606</v>
      </c>
      <c r="C46" s="405">
        <f t="shared" ref="C46:I47" si="14">C44/1000</f>
        <v>0</v>
      </c>
      <c r="D46" s="405">
        <f t="shared" si="14"/>
        <v>0</v>
      </c>
      <c r="E46" s="405">
        <f t="shared" si="14"/>
        <v>0</v>
      </c>
      <c r="F46" s="405">
        <f t="shared" si="14"/>
        <v>0</v>
      </c>
      <c r="G46" s="405">
        <f t="shared" si="14"/>
        <v>0</v>
      </c>
      <c r="H46" s="405">
        <f t="shared" si="14"/>
        <v>0</v>
      </c>
      <c r="I46" s="406">
        <f t="shared" si="14"/>
        <v>0</v>
      </c>
      <c r="J46" s="90"/>
      <c r="K46" s="90"/>
      <c r="L46" s="90"/>
      <c r="M46" s="90"/>
      <c r="N46" s="90"/>
    </row>
    <row r="47" spans="2:14" ht="15" thickBot="1">
      <c r="B47" s="278" t="s">
        <v>607</v>
      </c>
      <c r="C47" s="126">
        <f t="shared" si="14"/>
        <v>0</v>
      </c>
      <c r="D47" s="126">
        <f t="shared" si="14"/>
        <v>0</v>
      </c>
      <c r="E47" s="126">
        <f t="shared" si="14"/>
        <v>0</v>
      </c>
      <c r="F47" s="126">
        <f t="shared" si="14"/>
        <v>0</v>
      </c>
      <c r="G47" s="126">
        <f t="shared" si="14"/>
        <v>0</v>
      </c>
      <c r="H47" s="126">
        <f t="shared" si="14"/>
        <v>0</v>
      </c>
      <c r="I47" s="407">
        <f t="shared" si="14"/>
        <v>0</v>
      </c>
      <c r="J47" s="90"/>
      <c r="K47" s="90"/>
      <c r="L47" s="90"/>
      <c r="M47" s="90"/>
      <c r="N47" s="90"/>
    </row>
    <row r="48" spans="2:14" ht="15.6" thickTop="1" thickBot="1">
      <c r="B48" s="286" t="s">
        <v>608</v>
      </c>
      <c r="C48" s="436">
        <f t="shared" ref="C48:I48" si="15">C46+C47</f>
        <v>0</v>
      </c>
      <c r="D48" s="436">
        <f t="shared" si="15"/>
        <v>0</v>
      </c>
      <c r="E48" s="437">
        <f t="shared" si="15"/>
        <v>0</v>
      </c>
      <c r="F48" s="437">
        <f t="shared" si="15"/>
        <v>0</v>
      </c>
      <c r="G48" s="437">
        <f t="shared" si="15"/>
        <v>0</v>
      </c>
      <c r="H48" s="437">
        <f t="shared" si="15"/>
        <v>0</v>
      </c>
      <c r="I48" s="438">
        <f t="shared" si="15"/>
        <v>0</v>
      </c>
      <c r="J48" s="90"/>
      <c r="K48" s="90"/>
      <c r="L48" s="90"/>
      <c r="M48" s="90"/>
      <c r="N48" s="90"/>
    </row>
    <row r="49" spans="2:14" ht="15" thickBot="1">
      <c r="B49" s="283" t="s">
        <v>609</v>
      </c>
      <c r="C49" s="284"/>
      <c r="D49" s="284"/>
      <c r="E49" s="284"/>
      <c r="F49" s="439"/>
      <c r="G49" s="287"/>
      <c r="H49" s="287"/>
      <c r="I49" s="440"/>
      <c r="J49" s="90"/>
      <c r="K49" s="90"/>
      <c r="L49" s="90"/>
      <c r="M49" s="90"/>
      <c r="N49" s="90"/>
    </row>
    <row r="50" spans="2:14">
      <c r="B50" s="282" t="s">
        <v>610</v>
      </c>
      <c r="C50" s="441"/>
      <c r="D50" s="441"/>
      <c r="E50" s="441"/>
      <c r="F50" s="442">
        <v>1</v>
      </c>
      <c r="G50" s="443"/>
      <c r="H50" s="443"/>
      <c r="I50" s="444"/>
      <c r="J50" s="90"/>
      <c r="K50" s="90"/>
      <c r="L50" s="90"/>
      <c r="M50" s="90"/>
      <c r="N50" s="90"/>
    </row>
    <row r="51" spans="2:14" ht="16.899999999999999" thickBot="1">
      <c r="B51" s="278" t="s">
        <v>611</v>
      </c>
      <c r="C51" s="93">
        <f>C8</f>
        <v>365.87</v>
      </c>
      <c r="D51" s="126">
        <f>C2</f>
        <v>400</v>
      </c>
      <c r="E51" s="126">
        <f>C3</f>
        <v>56.7</v>
      </c>
      <c r="F51" s="126">
        <f>C4</f>
        <v>53.43</v>
      </c>
      <c r="G51" s="127">
        <f>C5</f>
        <v>24.64</v>
      </c>
      <c r="H51" s="128">
        <f>C6</f>
        <v>13.17</v>
      </c>
      <c r="I51" s="294">
        <f>C7</f>
        <v>1050</v>
      </c>
      <c r="J51" s="90"/>
      <c r="K51" s="90"/>
      <c r="L51" s="90"/>
      <c r="M51" s="90"/>
      <c r="N51" s="90"/>
    </row>
    <row r="52" spans="2:14" s="92" customFormat="1" ht="15.6" thickTop="1" thickBot="1">
      <c r="B52" s="279" t="s">
        <v>612</v>
      </c>
      <c r="C52" s="129">
        <f t="shared" ref="C52:I52" si="16">C51*C22/1000</f>
        <v>0</v>
      </c>
      <c r="D52" s="129">
        <f t="shared" si="16"/>
        <v>0</v>
      </c>
      <c r="E52" s="129">
        <f t="shared" si="16"/>
        <v>0</v>
      </c>
      <c r="F52" s="129">
        <f t="shared" si="16"/>
        <v>0</v>
      </c>
      <c r="G52" s="129">
        <f t="shared" si="16"/>
        <v>0</v>
      </c>
      <c r="H52" s="129">
        <f t="shared" si="16"/>
        <v>0</v>
      </c>
      <c r="I52" s="295">
        <f t="shared" si="16"/>
        <v>0</v>
      </c>
      <c r="J52" s="91"/>
      <c r="K52" s="91"/>
      <c r="L52" s="91"/>
      <c r="M52" s="91"/>
      <c r="N52" s="91"/>
    </row>
    <row r="53" spans="2:14" ht="15.6" thickTop="1" thickBot="1">
      <c r="B53" s="299" t="s">
        <v>613</v>
      </c>
      <c r="C53" s="300">
        <f>C52*C23/1000</f>
        <v>0</v>
      </c>
      <c r="D53" s="301">
        <f t="shared" ref="D53:I53" si="17">D52*1000</f>
        <v>0</v>
      </c>
      <c r="E53" s="301">
        <f t="shared" si="17"/>
        <v>0</v>
      </c>
      <c r="F53" s="301">
        <f t="shared" si="17"/>
        <v>0</v>
      </c>
      <c r="G53" s="301">
        <f t="shared" si="17"/>
        <v>0</v>
      </c>
      <c r="H53" s="301">
        <f t="shared" si="17"/>
        <v>0</v>
      </c>
      <c r="I53" s="302">
        <f t="shared" si="17"/>
        <v>0</v>
      </c>
      <c r="J53" s="90"/>
      <c r="K53" s="90"/>
      <c r="L53" s="90"/>
      <c r="M53" s="90"/>
      <c r="N53" s="90"/>
    </row>
    <row r="54" spans="2:14" ht="15" thickBot="1">
      <c r="B54" s="291"/>
      <c r="C54" s="284"/>
      <c r="D54" s="284"/>
      <c r="E54" s="284"/>
      <c r="F54" s="287"/>
      <c r="G54" s="287"/>
      <c r="H54" s="284"/>
      <c r="I54" s="292"/>
      <c r="J54" s="90"/>
      <c r="K54" s="90"/>
      <c r="L54" s="90"/>
      <c r="M54" s="90"/>
      <c r="N54" s="90"/>
    </row>
    <row r="55" spans="2:14" ht="16.149999999999999" thickBot="1">
      <c r="B55" s="288" t="s">
        <v>614</v>
      </c>
      <c r="C55" s="289">
        <f t="shared" ref="C55:I55" si="18">C53+C48</f>
        <v>0</v>
      </c>
      <c r="D55" s="289">
        <f>D53+D48</f>
        <v>0</v>
      </c>
      <c r="E55" s="289">
        <f t="shared" si="18"/>
        <v>0</v>
      </c>
      <c r="F55" s="289">
        <f t="shared" si="18"/>
        <v>0</v>
      </c>
      <c r="G55" s="289">
        <f t="shared" si="18"/>
        <v>0</v>
      </c>
      <c r="H55" s="289">
        <f t="shared" si="18"/>
        <v>0</v>
      </c>
      <c r="I55" s="290">
        <f t="shared" si="18"/>
        <v>0</v>
      </c>
      <c r="J55" s="90"/>
      <c r="K55" s="90"/>
      <c r="L55" s="90"/>
      <c r="M55" s="90"/>
      <c r="N55" s="90"/>
    </row>
    <row r="56" spans="2:14">
      <c r="H56" s="90"/>
      <c r="I56" s="90"/>
      <c r="J56" s="90"/>
      <c r="K56" s="90"/>
      <c r="L56" s="90"/>
      <c r="M56" s="90"/>
    </row>
    <row r="57" spans="2:14">
      <c r="H57" s="90"/>
      <c r="I57" s="90"/>
      <c r="J57" s="90"/>
      <c r="K57" s="90"/>
      <c r="L57" s="90"/>
      <c r="M57" s="90"/>
    </row>
    <row r="58" spans="2:14">
      <c r="B58" s="90"/>
      <c r="C58" s="90"/>
      <c r="D58" s="90"/>
      <c r="E58" s="90"/>
      <c r="F58" s="90"/>
      <c r="J58" s="90"/>
      <c r="K58" s="90"/>
      <c r="L58" s="90"/>
      <c r="M58" s="90"/>
      <c r="N58" s="90"/>
    </row>
    <row r="59" spans="2:14">
      <c r="F59" s="90"/>
      <c r="J59" s="90"/>
      <c r="K59" s="90"/>
      <c r="L59" s="90"/>
      <c r="M59" s="90"/>
    </row>
    <row r="60" spans="2:14">
      <c r="F60" s="90"/>
      <c r="J60" s="90"/>
      <c r="K60" s="90"/>
      <c r="L60" s="90"/>
      <c r="M60" s="90"/>
    </row>
    <row r="61" spans="2:14">
      <c r="F61" s="90"/>
      <c r="J61" s="90"/>
      <c r="K61" s="90"/>
      <c r="L61" s="90"/>
      <c r="M61" s="90"/>
      <c r="N61" s="90"/>
    </row>
    <row r="62" spans="2:14">
      <c r="F62" s="90"/>
      <c r="J62" s="90"/>
      <c r="K62" s="90"/>
      <c r="L62" s="90"/>
      <c r="M62" s="90"/>
      <c r="N62" s="90"/>
    </row>
    <row r="63" spans="2:14">
      <c r="F63" s="90"/>
      <c r="J63" s="90"/>
      <c r="K63" s="90"/>
      <c r="L63" s="90"/>
      <c r="M63" s="90"/>
    </row>
    <row r="64" spans="2:14">
      <c r="F64" s="90"/>
      <c r="G64" s="90"/>
      <c r="H64" s="90"/>
      <c r="I64" s="90"/>
      <c r="J64" s="90"/>
      <c r="K64" s="90"/>
      <c r="L64" s="90"/>
      <c r="M64" s="90"/>
    </row>
    <row r="65" spans="2:14">
      <c r="F65" s="90"/>
      <c r="G65" s="90"/>
      <c r="H65" s="90"/>
      <c r="I65" s="90"/>
      <c r="J65" s="90"/>
      <c r="K65" s="90"/>
      <c r="L65" s="90"/>
      <c r="M65" s="90"/>
    </row>
    <row r="66" spans="2:14">
      <c r="F66" s="90"/>
      <c r="G66" s="90"/>
      <c r="H66" s="90"/>
      <c r="I66" s="90"/>
      <c r="J66" s="90"/>
      <c r="K66" s="90"/>
      <c r="L66" s="90"/>
      <c r="M66" s="90"/>
      <c r="N66" s="90"/>
    </row>
    <row r="67" spans="2:14">
      <c r="F67" s="90"/>
      <c r="G67" s="90"/>
      <c r="H67" s="90"/>
      <c r="I67" s="90"/>
      <c r="J67" s="90"/>
      <c r="K67" s="90"/>
      <c r="L67" s="90"/>
      <c r="M67" s="90"/>
    </row>
    <row r="68" spans="2:14">
      <c r="B68" s="91"/>
      <c r="C68" s="90"/>
      <c r="E68" s="90"/>
      <c r="F68" s="90"/>
      <c r="G68" s="90"/>
      <c r="H68" s="90"/>
      <c r="I68" s="90"/>
      <c r="J68" s="90"/>
      <c r="K68" s="90"/>
      <c r="L68" s="90"/>
      <c r="M68" s="90"/>
    </row>
    <row r="69" spans="2:14">
      <c r="B69" s="90"/>
      <c r="C69" s="90"/>
      <c r="D69" s="90"/>
      <c r="E69" s="90"/>
      <c r="F69" s="90"/>
      <c r="G69" s="90"/>
      <c r="H69" s="90"/>
      <c r="I69" s="90"/>
      <c r="J69" s="90"/>
      <c r="K69" s="90"/>
      <c r="L69" s="90"/>
      <c r="M69" s="90"/>
      <c r="N69" s="90"/>
    </row>
    <row r="70" spans="2:14">
      <c r="B70" s="90"/>
      <c r="C70" s="90"/>
      <c r="E70" s="90"/>
      <c r="F70" s="90"/>
      <c r="G70" s="90"/>
      <c r="H70" s="90"/>
      <c r="I70" s="90"/>
      <c r="J70" s="90"/>
      <c r="K70" s="90"/>
      <c r="L70" s="90"/>
      <c r="M70" s="90"/>
      <c r="N70" s="90"/>
    </row>
    <row r="71" spans="2:14">
      <c r="B71" s="91"/>
      <c r="C71" s="90"/>
      <c r="E71" s="90"/>
      <c r="F71" s="90"/>
      <c r="G71" s="90"/>
      <c r="H71" s="90"/>
      <c r="I71" s="90"/>
      <c r="J71" s="90"/>
      <c r="K71" s="90"/>
      <c r="L71" s="90"/>
      <c r="M71" s="90"/>
    </row>
    <row r="72" spans="2:14">
      <c r="B72" s="90"/>
      <c r="C72" s="90"/>
      <c r="D72" s="90"/>
      <c r="E72" s="90"/>
      <c r="F72" s="90"/>
      <c r="G72" s="90"/>
      <c r="H72" s="90"/>
      <c r="I72" s="90"/>
      <c r="J72" s="90"/>
      <c r="K72" s="90"/>
      <c r="L72" s="90"/>
      <c r="M72" s="90"/>
      <c r="N72" s="90"/>
    </row>
  </sheetData>
  <sheetProtection algorithmName="SHA-512" hashValue="N+42lMAZ9/L+JXTDD8Bxqx4GeezIQZoOkVje+CejoaLuVp/rApuwBGtpT02mjRMLx9j3aYpGC26dzAvDQA70kw==" saltValue="GAyznbuQ4ncyL22ALKGIGA==" spinCount="100000" sheet="1" objects="1" scenarios="1"/>
  <hyperlinks>
    <hyperlink ref="J31" r:id="rId1" display="http://www.ytl.fi/files/146/Turun_yliopiston_Logistiikkaselvitys-2018-FINAL.pdf" xr:uid="{2C15C3A0-6772-4EC8-A7B6-6A049C5EDBAA}"/>
  </hyperlinks>
  <pageMargins left="0.7" right="0.7" top="0.75" bottom="0.75" header="0.3" footer="0.3"/>
  <pageSetup orientation="portrait"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2EFA34-A713-494D-99A9-46FFDAFB83D6}">
  <dimension ref="A1:E34"/>
  <sheetViews>
    <sheetView workbookViewId="0">
      <selection activeCell="A3" sqref="A3"/>
    </sheetView>
  </sheetViews>
  <sheetFormatPr defaultColWidth="8.7109375" defaultRowHeight="14.45"/>
  <cols>
    <col min="1" max="1" width="53.28515625" bestFit="1" customWidth="1"/>
    <col min="3" max="3" width="39.42578125" customWidth="1"/>
    <col min="4" max="4" width="26.28515625" bestFit="1" customWidth="1"/>
  </cols>
  <sheetData>
    <row r="1" spans="1:5">
      <c r="A1" t="s">
        <v>615</v>
      </c>
    </row>
    <row r="2" spans="1:5" ht="15" thickBot="1"/>
    <row r="3" spans="1:5" ht="15" thickBot="1">
      <c r="A3" s="401" t="s">
        <v>616</v>
      </c>
      <c r="B3" s="217" t="s">
        <v>617</v>
      </c>
    </row>
    <row r="4" spans="1:5" ht="15" thickBot="1">
      <c r="D4" t="s">
        <v>618</v>
      </c>
      <c r="E4" t="s">
        <v>330</v>
      </c>
    </row>
    <row r="5" spans="1:5">
      <c r="A5" s="194" t="s">
        <v>619</v>
      </c>
      <c r="B5" s="164">
        <v>200</v>
      </c>
      <c r="C5" s="165" t="s">
        <v>620</v>
      </c>
      <c r="D5" t="s">
        <v>621</v>
      </c>
      <c r="E5" s="1" t="s">
        <v>622</v>
      </c>
    </row>
    <row r="6" spans="1:5" ht="15" thickBot="1">
      <c r="A6" s="161" t="s">
        <v>623</v>
      </c>
      <c r="B6" s="162">
        <f>B5*(Laskenta!D157+Tausta_Tapahtumat!B80*0.001)</f>
        <v>0</v>
      </c>
      <c r="C6" s="163" t="s">
        <v>624</v>
      </c>
      <c r="E6" t="s">
        <v>625</v>
      </c>
    </row>
    <row r="7" spans="1:5" ht="15" thickBot="1"/>
    <row r="8" spans="1:5">
      <c r="A8" s="194" t="s">
        <v>626</v>
      </c>
      <c r="B8" s="303"/>
      <c r="C8" s="214"/>
    </row>
    <row r="9" spans="1:5">
      <c r="A9" s="445" t="s">
        <v>627</v>
      </c>
      <c r="B9" s="33"/>
      <c r="C9" s="160" t="s">
        <v>628</v>
      </c>
    </row>
    <row r="10" spans="1:5">
      <c r="A10" s="445" t="s">
        <v>629</v>
      </c>
      <c r="B10" s="88">
        <v>0.33</v>
      </c>
      <c r="C10" s="160">
        <f>$B$6*B10</f>
        <v>0</v>
      </c>
    </row>
    <row r="11" spans="1:5">
      <c r="A11" s="445" t="s">
        <v>630</v>
      </c>
      <c r="B11" s="88">
        <v>0.18</v>
      </c>
      <c r="C11" s="160">
        <f t="shared" ref="C11:C20" si="0">$B$6*B11</f>
        <v>0</v>
      </c>
    </row>
    <row r="12" spans="1:5">
      <c r="A12" s="445" t="s">
        <v>631</v>
      </c>
      <c r="B12" s="88">
        <v>0.17</v>
      </c>
      <c r="C12" s="160">
        <f>$B$6*B12</f>
        <v>0</v>
      </c>
    </row>
    <row r="13" spans="1:5">
      <c r="A13" s="445" t="s">
        <v>632</v>
      </c>
      <c r="B13" s="88">
        <f>B27+B29+B32+B34+B33</f>
        <v>0.19</v>
      </c>
      <c r="C13" s="160">
        <f t="shared" si="0"/>
        <v>0</v>
      </c>
    </row>
    <row r="14" spans="1:5">
      <c r="A14" s="445" t="s">
        <v>633</v>
      </c>
      <c r="B14" s="88">
        <v>0.08</v>
      </c>
      <c r="C14" s="160">
        <f t="shared" si="0"/>
        <v>0</v>
      </c>
    </row>
    <row r="15" spans="1:5">
      <c r="A15" s="445" t="s">
        <v>634</v>
      </c>
      <c r="B15" s="88">
        <v>0</v>
      </c>
      <c r="C15" s="160">
        <f t="shared" si="0"/>
        <v>0</v>
      </c>
    </row>
    <row r="16" spans="1:5">
      <c r="A16" s="445" t="s">
        <v>635</v>
      </c>
      <c r="B16" s="88">
        <v>0.03</v>
      </c>
      <c r="C16" s="160">
        <f t="shared" si="0"/>
        <v>0</v>
      </c>
    </row>
    <row r="17" spans="1:3">
      <c r="A17" s="445" t="s">
        <v>636</v>
      </c>
      <c r="B17" s="88">
        <v>0.02</v>
      </c>
      <c r="C17" s="160">
        <f t="shared" si="0"/>
        <v>0</v>
      </c>
    </row>
    <row r="18" spans="1:3">
      <c r="A18" s="445" t="s">
        <v>637</v>
      </c>
      <c r="B18" s="88">
        <v>0</v>
      </c>
      <c r="C18" s="160">
        <f t="shared" si="0"/>
        <v>0</v>
      </c>
    </row>
    <row r="19" spans="1:3">
      <c r="A19" s="445" t="s">
        <v>638</v>
      </c>
      <c r="B19" s="88">
        <v>0</v>
      </c>
      <c r="C19" s="160">
        <f t="shared" si="0"/>
        <v>0</v>
      </c>
    </row>
    <row r="20" spans="1:3" ht="15" thickBot="1">
      <c r="A20" s="446" t="s">
        <v>639</v>
      </c>
      <c r="B20" s="195">
        <v>0</v>
      </c>
      <c r="C20" s="163">
        <f t="shared" si="0"/>
        <v>0</v>
      </c>
    </row>
    <row r="22" spans="1:3" ht="15" thickBot="1"/>
    <row r="23" spans="1:3">
      <c r="A23" s="383" t="s">
        <v>640</v>
      </c>
      <c r="B23" s="164"/>
      <c r="C23" s="165" t="s">
        <v>330</v>
      </c>
    </row>
    <row r="24" spans="1:3">
      <c r="A24" s="445" t="s">
        <v>629</v>
      </c>
      <c r="B24" s="88">
        <v>0.33</v>
      </c>
      <c r="C24" s="304" t="s">
        <v>622</v>
      </c>
    </row>
    <row r="25" spans="1:3">
      <c r="A25" s="445" t="s">
        <v>630</v>
      </c>
      <c r="B25" s="88">
        <v>0.18</v>
      </c>
      <c r="C25" s="160"/>
    </row>
    <row r="26" spans="1:3">
      <c r="A26" s="445" t="s">
        <v>631</v>
      </c>
      <c r="B26" s="88">
        <v>0.17</v>
      </c>
      <c r="C26" s="160"/>
    </row>
    <row r="27" spans="1:3">
      <c r="A27" s="445" t="s">
        <v>632</v>
      </c>
      <c r="B27" s="88">
        <v>0.09</v>
      </c>
      <c r="C27" s="160"/>
    </row>
    <row r="28" spans="1:3">
      <c r="A28" s="445" t="s">
        <v>633</v>
      </c>
      <c r="B28" s="88">
        <v>0.08</v>
      </c>
      <c r="C28" s="160"/>
    </row>
    <row r="29" spans="1:3">
      <c r="A29" s="445" t="s">
        <v>634</v>
      </c>
      <c r="B29" s="88">
        <v>0.06</v>
      </c>
      <c r="C29" s="160"/>
    </row>
    <row r="30" spans="1:3">
      <c r="A30" s="445" t="s">
        <v>635</v>
      </c>
      <c r="B30" s="88">
        <v>0.03</v>
      </c>
      <c r="C30" s="160"/>
    </row>
    <row r="31" spans="1:3">
      <c r="A31" s="445" t="s">
        <v>636</v>
      </c>
      <c r="B31" s="88">
        <v>0.02</v>
      </c>
      <c r="C31" s="160"/>
    </row>
    <row r="32" spans="1:3">
      <c r="A32" s="445" t="s">
        <v>637</v>
      </c>
      <c r="B32" s="88">
        <v>0.02</v>
      </c>
      <c r="C32" s="160"/>
    </row>
    <row r="33" spans="1:3">
      <c r="A33" s="445" t="s">
        <v>638</v>
      </c>
      <c r="B33" s="88">
        <v>0.01</v>
      </c>
      <c r="C33" s="160"/>
    </row>
    <row r="34" spans="1:3" ht="15" thickBot="1">
      <c r="A34" s="446" t="s">
        <v>639</v>
      </c>
      <c r="B34" s="195">
        <v>0.01</v>
      </c>
      <c r="C34" s="163"/>
    </row>
  </sheetData>
  <sheetProtection algorithmName="SHA-512" hashValue="f1OckZ5l1bmNEqIO7Vl2g3Dq4K1O/jKZBGnlqUgrTXSCsdoQ0/q2q78YRfjcdjFdP9B5ZP0TPobnaxl5plMMyg==" saltValue="RqslfHNvDiN9V0C1cDTsYg==" spinCount="100000" sheet="1" objects="1" scenarios="1"/>
  <hyperlinks>
    <hyperlink ref="E5" r:id="rId1" xr:uid="{B53D6060-93A3-4ECA-BC60-FDA756EFE19B}"/>
    <hyperlink ref="C24" r:id="rId2" xr:uid="{9B88A61B-E03F-4862-84C8-79C10DAA695D}"/>
  </hyperlinks>
  <pageMargins left="0.7" right="0.7" top="0.75" bottom="0.75" header="0.3" footer="0.3"/>
  <pageSetup orientation="portrait" r:id="rId3"/>
  <drawing r:id="rId4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2D3A33-78E9-44E0-9033-BA9C7ECB9618}">
  <dimension ref="A1:E14"/>
  <sheetViews>
    <sheetView workbookViewId="0">
      <selection activeCell="A2" sqref="A2"/>
    </sheetView>
  </sheetViews>
  <sheetFormatPr defaultColWidth="8.7109375" defaultRowHeight="14.45"/>
  <cols>
    <col min="1" max="1" width="23.42578125" bestFit="1" customWidth="1"/>
    <col min="2" max="2" width="17.42578125" customWidth="1"/>
    <col min="3" max="3" width="9.28515625" style="32"/>
    <col min="5" max="5" width="15.42578125" customWidth="1"/>
  </cols>
  <sheetData>
    <row r="1" spans="1:5">
      <c r="A1" t="s">
        <v>18</v>
      </c>
    </row>
    <row r="2" spans="1:5" ht="15" thickBot="1"/>
    <row r="3" spans="1:5" ht="15" thickBot="1">
      <c r="A3" s="389" t="s">
        <v>71</v>
      </c>
      <c r="B3" s="447" t="s">
        <v>72</v>
      </c>
      <c r="C3" s="448" t="s">
        <v>392</v>
      </c>
      <c r="D3" s="447"/>
      <c r="E3" s="449" t="s">
        <v>95</v>
      </c>
    </row>
    <row r="4" spans="1:5">
      <c r="A4" s="179" t="s">
        <v>343</v>
      </c>
      <c r="B4" s="180" t="s">
        <v>347</v>
      </c>
      <c r="C4" s="306">
        <v>1</v>
      </c>
      <c r="D4" s="180" t="s">
        <v>617</v>
      </c>
      <c r="E4" s="181" t="s">
        <v>146</v>
      </c>
    </row>
    <row r="5" spans="1:5">
      <c r="A5" s="173" t="s">
        <v>344</v>
      </c>
      <c r="B5" s="171" t="s">
        <v>151</v>
      </c>
      <c r="C5" s="305">
        <v>0.9</v>
      </c>
      <c r="D5" s="171" t="s">
        <v>641</v>
      </c>
      <c r="E5" s="172" t="s">
        <v>148</v>
      </c>
    </row>
    <row r="6" spans="1:5">
      <c r="A6" s="173" t="s">
        <v>345</v>
      </c>
      <c r="B6" s="171" t="s">
        <v>350</v>
      </c>
      <c r="C6" s="305">
        <v>0.8</v>
      </c>
      <c r="D6" s="171" t="s">
        <v>43</v>
      </c>
      <c r="E6" s="172" t="s">
        <v>149</v>
      </c>
    </row>
    <row r="7" spans="1:5">
      <c r="A7" s="173"/>
      <c r="B7" s="171" t="s">
        <v>351</v>
      </c>
      <c r="C7" s="305">
        <v>0.7</v>
      </c>
      <c r="D7" s="171"/>
      <c r="E7" s="172" t="s">
        <v>151</v>
      </c>
    </row>
    <row r="8" spans="1:5">
      <c r="A8" s="173"/>
      <c r="B8" s="171" t="s">
        <v>352</v>
      </c>
      <c r="C8" s="305">
        <v>0.6</v>
      </c>
      <c r="D8" s="171"/>
      <c r="E8" s="172"/>
    </row>
    <row r="9" spans="1:5">
      <c r="A9" s="173"/>
      <c r="B9" s="171" t="s">
        <v>353</v>
      </c>
      <c r="C9" s="305">
        <v>0.5</v>
      </c>
      <c r="D9" s="171"/>
      <c r="E9" s="172"/>
    </row>
    <row r="10" spans="1:5">
      <c r="A10" s="173"/>
      <c r="B10" s="171"/>
      <c r="C10" s="305">
        <v>0.4</v>
      </c>
      <c r="D10" s="171"/>
      <c r="E10" s="172"/>
    </row>
    <row r="11" spans="1:5">
      <c r="A11" s="173"/>
      <c r="B11" s="171"/>
      <c r="C11" s="305">
        <v>0.3</v>
      </c>
      <c r="D11" s="171"/>
      <c r="E11" s="172"/>
    </row>
    <row r="12" spans="1:5">
      <c r="A12" s="173"/>
      <c r="B12" s="171"/>
      <c r="C12" s="305">
        <v>0.2</v>
      </c>
      <c r="D12" s="171"/>
      <c r="E12" s="172"/>
    </row>
    <row r="13" spans="1:5">
      <c r="A13" s="173"/>
      <c r="B13" s="171"/>
      <c r="C13" s="305">
        <v>0.1</v>
      </c>
      <c r="D13" s="171"/>
      <c r="E13" s="172"/>
    </row>
    <row r="14" spans="1:5" ht="15" thickBot="1">
      <c r="A14" s="182"/>
      <c r="B14" s="183"/>
      <c r="C14" s="307">
        <v>0</v>
      </c>
      <c r="D14" s="183"/>
      <c r="E14" s="184"/>
    </row>
  </sheetData>
  <sheetProtection algorithmName="SHA-512" hashValue="Wn57a+7gb8hyeTFo3eaMxt4HACb6STrsPSVvWEmtgSEGL3eWlP5Oy9gklWjDp9tbugMF2PVnBmeylrIOKbWywQ==" saltValue="3Bbka+ETmjikXCwE5Fgodw==" spinCount="100000" sheet="1" objects="1" scenarios="1"/>
  <conditionalFormatting sqref="H90">
    <cfRule type="colorScale" priority="1">
      <colorScale>
        <cfvo type="formula" val="$D$4"/>
        <cfvo type="formula" val="$D$5"/>
        <color theme="7" tint="0.59999389629810485"/>
        <color theme="0"/>
      </colorScale>
    </cfRule>
    <cfRule type="colorScale" priority="2">
      <colorScale>
        <cfvo type="formula" val="$D$4"/>
        <cfvo type="formula" val="$D$5"/>
        <color theme="7" tint="0.59999389629810485"/>
        <color theme="0"/>
      </colorScale>
    </cfRule>
    <cfRule type="expression" dxfId="0" priority="3">
      <formula>$D$4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B562A1-8EC2-43F5-BF07-72C17EF84D32}">
  <dimension ref="A1"/>
  <sheetViews>
    <sheetView zoomScale="55" zoomScaleNormal="55" workbookViewId="0">
      <selection activeCell="P156" sqref="P156"/>
    </sheetView>
  </sheetViews>
  <sheetFormatPr defaultRowHeight="14.45"/>
  <sheetData/>
  <sheetProtection algorithmName="SHA-512" hashValue="tSMJps3XXJSMBMKm9qhhNuYrg2GGReqN6z/7V3X/lx4im1mS+mVGTig/eSsWD9/SMYe+REbPN1ffOCmiOa9J1A==" saltValue="XaCxqhwiD47whl5/maUcMQ==" spinCount="100000" sheet="1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4BC960-3FC8-4767-8EC4-4F174684A590}">
  <dimension ref="B1:F28"/>
  <sheetViews>
    <sheetView workbookViewId="0">
      <selection activeCell="B2" sqref="B2"/>
    </sheetView>
  </sheetViews>
  <sheetFormatPr defaultColWidth="8.7109375" defaultRowHeight="14.45"/>
  <cols>
    <col min="2" max="2" width="74.28515625" bestFit="1" customWidth="1"/>
    <col min="3" max="3" width="22" customWidth="1"/>
    <col min="4" max="4" width="9.42578125" bestFit="1" customWidth="1"/>
    <col min="6" max="6" width="19" customWidth="1"/>
  </cols>
  <sheetData>
    <row r="1" spans="2:6">
      <c r="B1" s="383" t="s">
        <v>132</v>
      </c>
      <c r="C1" s="384" t="s">
        <v>133</v>
      </c>
      <c r="D1" s="384" t="s">
        <v>134</v>
      </c>
      <c r="E1" s="384" t="s">
        <v>135</v>
      </c>
      <c r="F1" s="385" t="s">
        <v>136</v>
      </c>
    </row>
    <row r="2" spans="2:6">
      <c r="B2" s="159" t="str">
        <f>'Päästökertoimet ja muut'!B55</f>
        <v>Average energy consumption, passenger car</v>
      </c>
      <c r="C2" s="166">
        <f>'Päästökertoimet ja muut'!C55</f>
        <v>2.2000000000000002</v>
      </c>
      <c r="D2" s="166">
        <f>'Päästökertoimet ja muut'!D55</f>
        <v>0</v>
      </c>
      <c r="E2" s="166">
        <f>'Päästökertoimet ja muut'!E55</f>
        <v>0</v>
      </c>
      <c r="F2" s="169" t="str">
        <f>'Päästökertoimet ja muut'!F55</f>
        <v>MJ/km</v>
      </c>
    </row>
    <row r="3" spans="2:6">
      <c r="B3" s="159" t="str">
        <f>'Päästökertoimet ja muut'!B65</f>
        <v>Direct emissions from diesel burning</v>
      </c>
      <c r="C3" s="166">
        <f>'Päästökertoimet ja muut'!C65</f>
        <v>2.6890000000000001</v>
      </c>
      <c r="D3" s="166">
        <f>'Päästökertoimet ja muut'!D65</f>
        <v>0</v>
      </c>
      <c r="E3" s="166">
        <f>'Päästökertoimet ja muut'!E65</f>
        <v>0</v>
      </c>
      <c r="F3" s="169" t="str">
        <f>'Päästökertoimet ja muut'!F65</f>
        <v>kgCO2e/l</v>
      </c>
    </row>
    <row r="4" spans="2:6">
      <c r="B4" s="159" t="str">
        <f>'Päästökertoimet ja muut'!B66</f>
        <v>Direct emissions from petrol burning</v>
      </c>
      <c r="C4" s="166">
        <f>'Päästökertoimet ja muut'!C66</f>
        <v>2.3479999999999999</v>
      </c>
      <c r="D4" s="166">
        <f>'Päästökertoimet ja muut'!D66</f>
        <v>0</v>
      </c>
      <c r="E4" s="166">
        <f>'Päästökertoimet ja muut'!E66</f>
        <v>0</v>
      </c>
      <c r="F4" s="169" t="str">
        <f>'Päästökertoimet ja muut'!F66</f>
        <v>kgCO2e/l</v>
      </c>
    </row>
    <row r="5" spans="2:6">
      <c r="B5" s="159" t="str">
        <f>'Päästökertoimet ja muut'!B67</f>
        <v>Indirect emissions from diesel burning</v>
      </c>
      <c r="C5" s="166">
        <f>'Päästökertoimet ja muut'!C67</f>
        <v>0.75</v>
      </c>
      <c r="D5" s="166">
        <f>'Päästökertoimet ja muut'!D67</f>
        <v>0</v>
      </c>
      <c r="E5" s="166">
        <f>'Päästökertoimet ja muut'!E67</f>
        <v>0</v>
      </c>
      <c r="F5" s="169" t="str">
        <f>'Päästökertoimet ja muut'!F67</f>
        <v>kgCO2e/l</v>
      </c>
    </row>
    <row r="6" spans="2:6">
      <c r="B6" s="159" t="str">
        <f>'Päästökertoimet ja muut'!B68</f>
        <v>Indirect emissions from petrol burning</v>
      </c>
      <c r="C6" s="166">
        <f>'Päästökertoimet ja muut'!C68</f>
        <v>0.65500000000000003</v>
      </c>
      <c r="D6" s="166">
        <f>'Päästökertoimet ja muut'!D68</f>
        <v>0</v>
      </c>
      <c r="E6" s="166">
        <f>'Päästökertoimet ja muut'!E68</f>
        <v>0</v>
      </c>
      <c r="F6" s="169" t="str">
        <f>'Päästökertoimet ja muut'!F68</f>
        <v>kgCO2e/l</v>
      </c>
    </row>
    <row r="7" spans="2:6">
      <c r="B7" s="159" t="str">
        <f>'Päästökertoimet ja muut'!B76</f>
        <v>Emissions from methane combustion (CNG)</v>
      </c>
      <c r="C7" s="166">
        <f>'Päästökertoimet ja muut'!C76</f>
        <v>2880</v>
      </c>
      <c r="D7" s="166">
        <f>'Päästökertoimet ja muut'!D76</f>
        <v>0</v>
      </c>
      <c r="E7" s="166">
        <f>'Päästökertoimet ja muut'!E76</f>
        <v>0</v>
      </c>
      <c r="F7" s="169" t="str">
        <f>'Päästökertoimet ja muut'!F76</f>
        <v>gCO2e/ kg</v>
      </c>
    </row>
    <row r="8" spans="2:6">
      <c r="B8" s="159" t="str">
        <f>'Päästökertoimet ja muut'!B82</f>
        <v>Energy consumption of average van</v>
      </c>
      <c r="C8" s="166">
        <f>'Päästökertoimet ja muut'!C82</f>
        <v>3.3</v>
      </c>
      <c r="D8" s="166">
        <f>'Päästökertoimet ja muut'!D82</f>
        <v>0</v>
      </c>
      <c r="E8" s="166">
        <f>'Päästökertoimet ja muut'!E82</f>
        <v>0</v>
      </c>
      <c r="F8" s="169" t="str">
        <f>'Päästökertoimet ja muut'!F82</f>
        <v>MJ/km</v>
      </c>
    </row>
    <row r="9" spans="2:6">
      <c r="B9" s="159" t="str">
        <f>'Päästökertoimet ja muut'!B83</f>
        <v>Diesel energy content</v>
      </c>
      <c r="C9" s="166">
        <f>'Päästökertoimet ja muut'!C83</f>
        <v>43.2</v>
      </c>
      <c r="D9" s="166">
        <f>'Päästökertoimet ja muut'!D83</f>
        <v>0</v>
      </c>
      <c r="E9" s="166">
        <f>'Päästökertoimet ja muut'!E83</f>
        <v>0</v>
      </c>
      <c r="F9" s="169" t="str">
        <f>'Päästökertoimet ja muut'!F83</f>
        <v>MJ/kg fuel</v>
      </c>
    </row>
    <row r="10" spans="2:6">
      <c r="B10" s="159" t="str">
        <f>'Päästökertoimet ja muut'!B84</f>
        <v>Petrol energy content</v>
      </c>
      <c r="C10" s="166">
        <f>'Päästökertoimet ja muut'!C84</f>
        <v>43</v>
      </c>
      <c r="D10" s="166">
        <f>'Päästökertoimet ja muut'!D84</f>
        <v>0</v>
      </c>
      <c r="E10" s="166">
        <f>'Päästökertoimet ja muut'!E84</f>
        <v>0</v>
      </c>
      <c r="F10" s="169" t="str">
        <f>'Päästökertoimet ja muut'!F84</f>
        <v>MJ/kg fuel</v>
      </c>
    </row>
    <row r="11" spans="2:6">
      <c r="B11" s="159" t="str">
        <f>'Päästökertoimet ja muut'!B85</f>
        <v>Diesel density</v>
      </c>
      <c r="C11" s="166">
        <f>'Päästökertoimet ja muut'!C85</f>
        <v>0.83</v>
      </c>
      <c r="D11" s="166">
        <f>'Päästökertoimet ja muut'!D85</f>
        <v>0</v>
      </c>
      <c r="E11" s="166">
        <f>'Päästökertoimet ja muut'!E85</f>
        <v>0</v>
      </c>
      <c r="F11" s="169" t="str">
        <f>'Päästökertoimet ja muut'!F85</f>
        <v>kg/l</v>
      </c>
    </row>
    <row r="12" spans="2:6">
      <c r="B12" s="159" t="str">
        <f>'Päästökertoimet ja muut'!B86</f>
        <v>Petrol density</v>
      </c>
      <c r="C12" s="166">
        <f>'Päästökertoimet ja muut'!C86</f>
        <v>0.745</v>
      </c>
      <c r="D12" s="166">
        <f>'Päästökertoimet ja muut'!D86</f>
        <v>0</v>
      </c>
      <c r="E12" s="166">
        <f>'Päästökertoimet ja muut'!E86</f>
        <v>0</v>
      </c>
      <c r="F12" s="169" t="str">
        <f>'Päästökertoimet ja muut'!F86</f>
        <v>kg/l</v>
      </c>
    </row>
    <row r="13" spans="2:6">
      <c r="B13" s="159" t="str">
        <f>'Päästökertoimet ja muut'!B87</f>
        <v>Medium sized electric vehicle energy consumption</v>
      </c>
      <c r="C13" s="166">
        <f>'Päästökertoimet ja muut'!C87</f>
        <v>0.17</v>
      </c>
      <c r="D13" s="166">
        <f>'Päästökertoimet ja muut'!D87</f>
        <v>0</v>
      </c>
      <c r="E13" s="166">
        <f>'Päästökertoimet ja muut'!E87</f>
        <v>0</v>
      </c>
      <c r="F13" s="169" t="str">
        <f>'Päästökertoimet ja muut'!F87</f>
        <v>kWh/km</v>
      </c>
    </row>
    <row r="14" spans="2:6" ht="15" thickBot="1">
      <c r="B14" s="161" t="str">
        <f>'Päästökertoimet ja muut'!B25</f>
        <v>Average emissions from electricity production, FI (hyödynjakomenetelmä),  2019</v>
      </c>
      <c r="C14" s="168">
        <f>'Päästökertoimet ja muut'!C25</f>
        <v>116</v>
      </c>
      <c r="D14" s="168">
        <f>'Päästökertoimet ja muut'!D25</f>
        <v>0</v>
      </c>
      <c r="E14" s="168">
        <f>'Päästökertoimet ja muut'!E25</f>
        <v>0</v>
      </c>
      <c r="F14" s="170" t="str">
        <f>'Päästökertoimet ja muut'!F25</f>
        <v>gCO2e/kWh</v>
      </c>
    </row>
    <row r="15" spans="2:6" ht="15" thickBot="1"/>
    <row r="16" spans="2:6">
      <c r="B16" s="380" t="s">
        <v>95</v>
      </c>
      <c r="C16" s="381" t="s">
        <v>137</v>
      </c>
      <c r="D16" s="381" t="s">
        <v>133</v>
      </c>
      <c r="E16" s="382" t="s">
        <v>136</v>
      </c>
      <c r="F16" s="318"/>
    </row>
    <row r="17" spans="2:6">
      <c r="B17" s="319" t="s">
        <v>138</v>
      </c>
      <c r="C17" s="166">
        <f>C2</f>
        <v>2.2000000000000002</v>
      </c>
      <c r="D17" s="167">
        <f>((C17/C9/C11)+(C17/C10/C12))/2</f>
        <v>6.5015712051333871E-2</v>
      </c>
      <c r="E17" s="320" t="s">
        <v>139</v>
      </c>
    </row>
    <row r="18" spans="2:6">
      <c r="B18" s="319" t="s">
        <v>140</v>
      </c>
      <c r="C18" s="166">
        <f>C8</f>
        <v>3.3</v>
      </c>
      <c r="D18" s="167">
        <f>((C18/C9/C11)+(C18/C10/C12))/2</f>
        <v>9.7523568077000772E-2</v>
      </c>
      <c r="E18" s="320" t="s">
        <v>139</v>
      </c>
    </row>
    <row r="19" spans="2:6">
      <c r="B19" s="319" t="s">
        <v>141</v>
      </c>
      <c r="C19" s="166"/>
      <c r="D19" s="166">
        <f>C13</f>
        <v>0.17</v>
      </c>
      <c r="E19" s="320" t="s">
        <v>142</v>
      </c>
    </row>
    <row r="20" spans="2:6">
      <c r="B20" s="377" t="s">
        <v>143</v>
      </c>
      <c r="C20" s="378">
        <v>0</v>
      </c>
      <c r="D20" s="378">
        <v>0</v>
      </c>
      <c r="E20" s="379" t="s">
        <v>139</v>
      </c>
      <c r="F20" t="s">
        <v>144</v>
      </c>
    </row>
    <row r="21" spans="2:6" ht="15" thickBot="1">
      <c r="B21" s="321" t="s">
        <v>43</v>
      </c>
      <c r="C21" s="322">
        <v>0</v>
      </c>
      <c r="D21" s="322">
        <v>0</v>
      </c>
      <c r="E21" s="323"/>
    </row>
    <row r="22" spans="2:6" ht="15" thickBot="1"/>
    <row r="23" spans="2:6">
      <c r="B23" s="380" t="s">
        <v>96</v>
      </c>
      <c r="C23" s="381" t="s">
        <v>145</v>
      </c>
      <c r="D23" s="381" t="s">
        <v>133</v>
      </c>
      <c r="E23" s="382" t="s">
        <v>136</v>
      </c>
      <c r="F23" s="318"/>
    </row>
    <row r="24" spans="2:6">
      <c r="B24" s="329" t="s">
        <v>43</v>
      </c>
      <c r="C24" s="330">
        <v>0</v>
      </c>
      <c r="D24" s="330">
        <v>0</v>
      </c>
      <c r="E24" s="331"/>
    </row>
    <row r="25" spans="2:6">
      <c r="B25" s="332" t="s">
        <v>146</v>
      </c>
      <c r="C25" s="171">
        <f>C4+C6</f>
        <v>3.0030000000000001</v>
      </c>
      <c r="D25" s="171"/>
      <c r="E25" s="171" t="s">
        <v>147</v>
      </c>
    </row>
    <row r="26" spans="2:6">
      <c r="B26" s="332" t="s">
        <v>148</v>
      </c>
      <c r="C26" s="171">
        <f>C3+C5</f>
        <v>3.4390000000000001</v>
      </c>
      <c r="D26" s="171"/>
      <c r="E26" s="171" t="s">
        <v>147</v>
      </c>
    </row>
    <row r="27" spans="2:6">
      <c r="B27" s="332" t="s">
        <v>149</v>
      </c>
      <c r="C27" s="171">
        <f>C7/1000</f>
        <v>2.88</v>
      </c>
      <c r="D27" s="171"/>
      <c r="E27" s="171" t="s">
        <v>150</v>
      </c>
    </row>
    <row r="28" spans="2:6">
      <c r="B28" s="332" t="s">
        <v>151</v>
      </c>
      <c r="C28" s="171">
        <f>C14/1000</f>
        <v>0.11600000000000001</v>
      </c>
      <c r="D28" s="171"/>
      <c r="E28" s="171" t="s">
        <v>152</v>
      </c>
    </row>
  </sheetData>
  <sheetProtection algorithmName="SHA-512" hashValue="4/bY7nXP+YKfuE5SwCtsEvQgmQW+1jTpY2kcVOROw0+ABsiTjVen06P2qnmpiuAe8ZUDN48tAXzoZlsEXBDHiw==" saltValue="9B/YCqnLdHF5P4726oih7A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955EC4-9310-4B34-AB94-82B70FFC330A}">
  <dimension ref="A1:AE99"/>
  <sheetViews>
    <sheetView workbookViewId="0">
      <selection activeCell="A2" sqref="A2"/>
    </sheetView>
  </sheetViews>
  <sheetFormatPr defaultColWidth="8.7109375" defaultRowHeight="13.9"/>
  <cols>
    <col min="1" max="1" width="22.28515625" style="186" bestFit="1" customWidth="1"/>
    <col min="2" max="2" width="67.28515625" style="186" bestFit="1" customWidth="1"/>
    <col min="3" max="3" width="32.42578125" style="188" customWidth="1"/>
    <col min="4" max="4" width="18" style="188" bestFit="1" customWidth="1"/>
    <col min="5" max="5" width="17.7109375" style="188" bestFit="1" customWidth="1"/>
    <col min="6" max="6" width="13.28515625" style="188" customWidth="1"/>
    <col min="7" max="7" width="29.7109375" style="186" hidden="1" customWidth="1"/>
    <col min="8" max="8" width="27.7109375" style="188" bestFit="1" customWidth="1"/>
    <col min="9" max="9" width="31.42578125" style="186" hidden="1" customWidth="1"/>
    <col min="10" max="10" width="27.42578125" style="186" hidden="1" customWidth="1"/>
    <col min="11" max="11" width="19.7109375" style="186" hidden="1" customWidth="1"/>
    <col min="12" max="12" width="74.28515625" style="186" bestFit="1" customWidth="1"/>
    <col min="13" max="13" width="8.7109375" style="186"/>
    <col min="14" max="14" width="104.7109375" style="186" customWidth="1"/>
    <col min="15" max="16384" width="8.7109375" style="186"/>
  </cols>
  <sheetData>
    <row r="1" spans="1:14" s="185" customFormat="1" ht="14.45" thickBot="1">
      <c r="A1" s="585" t="s">
        <v>153</v>
      </c>
      <c r="B1" s="586" t="s">
        <v>154</v>
      </c>
      <c r="C1" s="587" t="s">
        <v>155</v>
      </c>
      <c r="D1" s="587" t="s">
        <v>156</v>
      </c>
      <c r="E1" s="587" t="s">
        <v>157</v>
      </c>
      <c r="F1" s="587" t="s">
        <v>158</v>
      </c>
      <c r="G1" s="586" t="s">
        <v>159</v>
      </c>
      <c r="H1" s="587" t="s">
        <v>160</v>
      </c>
      <c r="I1" s="586" t="s">
        <v>161</v>
      </c>
      <c r="J1" s="586" t="s">
        <v>162</v>
      </c>
      <c r="K1" s="586" t="s">
        <v>163</v>
      </c>
      <c r="L1" s="586" t="s">
        <v>164</v>
      </c>
      <c r="M1" s="586" t="s">
        <v>165</v>
      </c>
      <c r="N1" s="588" t="s">
        <v>166</v>
      </c>
    </row>
    <row r="2" spans="1:14" ht="14.45">
      <c r="A2" s="589" t="s">
        <v>167</v>
      </c>
      <c r="B2" s="590" t="s">
        <v>168</v>
      </c>
      <c r="C2" s="591">
        <v>89.2</v>
      </c>
      <c r="D2" s="591"/>
      <c r="E2" s="591"/>
      <c r="F2" s="591" t="s">
        <v>169</v>
      </c>
      <c r="G2" s="590" t="s">
        <v>170</v>
      </c>
      <c r="H2" s="591">
        <v>2020</v>
      </c>
      <c r="I2" s="590" t="s">
        <v>171</v>
      </c>
      <c r="J2" s="590" t="s">
        <v>172</v>
      </c>
      <c r="K2" s="590" t="s">
        <v>170</v>
      </c>
      <c r="L2" s="590" t="s">
        <v>173</v>
      </c>
      <c r="M2" s="592" t="s">
        <v>174</v>
      </c>
      <c r="N2" s="593"/>
    </row>
    <row r="3" spans="1:14">
      <c r="A3" s="594" t="s">
        <v>175</v>
      </c>
      <c r="B3" s="595" t="s">
        <v>176</v>
      </c>
      <c r="C3" s="596">
        <f>1/277777.778</f>
        <v>3.5999999971200001E-6</v>
      </c>
      <c r="D3" s="596"/>
      <c r="E3" s="596"/>
      <c r="F3" s="596"/>
      <c r="G3" s="595"/>
      <c r="H3" s="596"/>
      <c r="I3" s="595"/>
      <c r="J3" s="595"/>
      <c r="K3" s="595"/>
      <c r="L3" s="595"/>
      <c r="M3" s="595"/>
      <c r="N3" s="597"/>
    </row>
    <row r="4" spans="1:14">
      <c r="A4" s="594" t="s">
        <v>175</v>
      </c>
      <c r="B4" s="595" t="s">
        <v>177</v>
      </c>
      <c r="C4" s="596">
        <v>1000000</v>
      </c>
      <c r="D4" s="596"/>
      <c r="E4" s="596"/>
      <c r="F4" s="596"/>
      <c r="G4" s="595"/>
      <c r="H4" s="596"/>
      <c r="I4" s="595"/>
      <c r="J4" s="595"/>
      <c r="K4" s="595"/>
      <c r="L4" s="595"/>
      <c r="M4" s="595"/>
      <c r="N4" s="597"/>
    </row>
    <row r="5" spans="1:14">
      <c r="A5" s="594" t="s">
        <v>167</v>
      </c>
      <c r="B5" s="595" t="s">
        <v>178</v>
      </c>
      <c r="C5" s="596">
        <v>0</v>
      </c>
      <c r="D5" s="596"/>
      <c r="E5" s="596"/>
      <c r="F5" s="596" t="s">
        <v>169</v>
      </c>
      <c r="G5" s="595"/>
      <c r="H5" s="596"/>
      <c r="I5" s="595"/>
      <c r="J5" s="595"/>
      <c r="K5" s="595"/>
      <c r="L5" s="595"/>
      <c r="M5" s="595"/>
      <c r="N5" s="597"/>
    </row>
    <row r="6" spans="1:14">
      <c r="A6" s="594" t="s">
        <v>167</v>
      </c>
      <c r="B6" s="595" t="s">
        <v>179</v>
      </c>
      <c r="C6" s="596">
        <v>127</v>
      </c>
      <c r="D6" s="596"/>
      <c r="E6" s="596"/>
      <c r="F6" s="596" t="s">
        <v>169</v>
      </c>
      <c r="G6" s="595" t="s">
        <v>170</v>
      </c>
      <c r="H6" s="596">
        <v>2020</v>
      </c>
      <c r="I6" s="595" t="s">
        <v>171</v>
      </c>
      <c r="J6" s="595" t="s">
        <v>172</v>
      </c>
      <c r="K6" s="595" t="s">
        <v>170</v>
      </c>
      <c r="L6" s="595" t="s">
        <v>180</v>
      </c>
      <c r="M6" s="595" t="s">
        <v>181</v>
      </c>
      <c r="N6" s="597"/>
    </row>
    <row r="7" spans="1:14">
      <c r="A7" s="594" t="s">
        <v>167</v>
      </c>
      <c r="B7" s="595" t="s">
        <v>182</v>
      </c>
      <c r="C7" s="596">
        <v>70.900000000000006</v>
      </c>
      <c r="D7" s="596"/>
      <c r="E7" s="596"/>
      <c r="F7" s="596" t="s">
        <v>183</v>
      </c>
      <c r="G7" s="595"/>
      <c r="H7" s="596"/>
      <c r="I7" s="595"/>
      <c r="J7" s="595"/>
      <c r="K7" s="595"/>
      <c r="L7" s="595" t="s">
        <v>184</v>
      </c>
      <c r="M7" s="595"/>
      <c r="N7" s="597"/>
    </row>
    <row r="8" spans="1:14">
      <c r="A8" s="594" t="s">
        <v>167</v>
      </c>
      <c r="B8" s="595" t="s">
        <v>182</v>
      </c>
      <c r="C8" s="598">
        <f>C7*C4*C3</f>
        <v>255.23999979580802</v>
      </c>
      <c r="D8" s="596"/>
      <c r="E8" s="596"/>
      <c r="F8" s="596" t="s">
        <v>169</v>
      </c>
      <c r="G8" s="595"/>
      <c r="H8" s="596"/>
      <c r="I8" s="595"/>
      <c r="J8" s="595"/>
      <c r="K8" s="595"/>
      <c r="L8" s="595"/>
      <c r="M8" s="595"/>
      <c r="N8" s="597"/>
    </row>
    <row r="9" spans="1:14">
      <c r="A9" s="594" t="s">
        <v>167</v>
      </c>
      <c r="B9" s="595" t="s">
        <v>185</v>
      </c>
      <c r="C9" s="596">
        <v>0</v>
      </c>
      <c r="D9" s="596"/>
      <c r="E9" s="596"/>
      <c r="F9" s="596" t="s">
        <v>169</v>
      </c>
      <c r="G9" s="595"/>
      <c r="H9" s="596"/>
      <c r="I9" s="595"/>
      <c r="J9" s="595"/>
      <c r="K9" s="595"/>
      <c r="L9" s="595"/>
      <c r="M9" s="595"/>
      <c r="N9" s="597"/>
    </row>
    <row r="10" spans="1:14">
      <c r="A10" s="594" t="s">
        <v>167</v>
      </c>
      <c r="B10" s="595" t="s">
        <v>186</v>
      </c>
      <c r="C10" s="596">
        <v>0</v>
      </c>
      <c r="D10" s="596"/>
      <c r="E10" s="596"/>
      <c r="F10" s="596" t="s">
        <v>169</v>
      </c>
      <c r="G10" s="595"/>
      <c r="H10" s="596"/>
      <c r="I10" s="595"/>
      <c r="J10" s="595"/>
      <c r="K10" s="595"/>
      <c r="L10" s="595"/>
      <c r="M10" s="595"/>
      <c r="N10" s="597"/>
    </row>
    <row r="11" spans="1:14">
      <c r="A11" s="594" t="s">
        <v>167</v>
      </c>
      <c r="B11" s="595" t="s">
        <v>187</v>
      </c>
      <c r="C11" s="596">
        <v>55.4</v>
      </c>
      <c r="D11" s="596"/>
      <c r="E11" s="596"/>
      <c r="F11" s="596" t="s">
        <v>183</v>
      </c>
      <c r="G11" s="595"/>
      <c r="H11" s="596"/>
      <c r="I11" s="595"/>
      <c r="J11" s="595"/>
      <c r="K11" s="595"/>
      <c r="L11" s="595" t="s">
        <v>184</v>
      </c>
      <c r="M11" s="595"/>
      <c r="N11" s="597"/>
    </row>
    <row r="12" spans="1:14">
      <c r="A12" s="594" t="s">
        <v>167</v>
      </c>
      <c r="B12" s="595" t="s">
        <v>187</v>
      </c>
      <c r="C12" s="598">
        <f>C11*C4*C3</f>
        <v>199.439999840448</v>
      </c>
      <c r="D12" s="596"/>
      <c r="E12" s="596"/>
      <c r="F12" s="596" t="s">
        <v>169</v>
      </c>
      <c r="G12" s="595"/>
      <c r="H12" s="596"/>
      <c r="I12" s="595"/>
      <c r="J12" s="595"/>
      <c r="K12" s="595"/>
      <c r="L12" s="595"/>
      <c r="M12" s="595"/>
      <c r="N12" s="597"/>
    </row>
    <row r="13" spans="1:14">
      <c r="A13" s="594" t="s">
        <v>167</v>
      </c>
      <c r="B13" s="595" t="s">
        <v>188</v>
      </c>
      <c r="C13" s="596">
        <v>43.2</v>
      </c>
      <c r="D13" s="596"/>
      <c r="E13" s="596"/>
      <c r="F13" s="596" t="s">
        <v>189</v>
      </c>
      <c r="G13" s="595"/>
      <c r="H13" s="596"/>
      <c r="I13" s="595"/>
      <c r="J13" s="595"/>
      <c r="K13" s="595"/>
      <c r="L13" s="595"/>
      <c r="M13" s="595"/>
      <c r="N13" s="597"/>
    </row>
    <row r="14" spans="1:14">
      <c r="A14" s="594" t="s">
        <v>167</v>
      </c>
      <c r="B14" s="595" t="s">
        <v>190</v>
      </c>
      <c r="C14" s="596">
        <v>9.5</v>
      </c>
      <c r="D14" s="596"/>
      <c r="E14" s="596"/>
      <c r="F14" s="596" t="s">
        <v>189</v>
      </c>
      <c r="G14" s="595"/>
      <c r="H14" s="596"/>
      <c r="I14" s="595"/>
      <c r="J14" s="595"/>
      <c r="K14" s="595"/>
      <c r="L14" s="595"/>
      <c r="M14" s="595"/>
      <c r="N14" s="597"/>
    </row>
    <row r="15" spans="1:14">
      <c r="A15" s="594" t="s">
        <v>167</v>
      </c>
      <c r="B15" s="595" t="s">
        <v>191</v>
      </c>
      <c r="C15" s="596">
        <v>17</v>
      </c>
      <c r="D15" s="596"/>
      <c r="E15" s="596"/>
      <c r="F15" s="596" t="s">
        <v>189</v>
      </c>
      <c r="G15" s="595"/>
      <c r="H15" s="596"/>
      <c r="I15" s="595"/>
      <c r="J15" s="595"/>
      <c r="K15" s="595"/>
      <c r="L15" s="595"/>
      <c r="M15" s="595"/>
      <c r="N15" s="597"/>
    </row>
    <row r="16" spans="1:14">
      <c r="A16" s="594" t="s">
        <v>167</v>
      </c>
      <c r="B16" s="595" t="s">
        <v>192</v>
      </c>
      <c r="C16" s="596">
        <v>36.58</v>
      </c>
      <c r="D16" s="596"/>
      <c r="E16" s="596"/>
      <c r="F16" s="596" t="s">
        <v>193</v>
      </c>
      <c r="G16" s="595"/>
      <c r="H16" s="596"/>
      <c r="I16" s="595"/>
      <c r="J16" s="595"/>
      <c r="K16" s="595"/>
      <c r="L16" s="595"/>
      <c r="M16" s="595"/>
      <c r="N16" s="597"/>
    </row>
    <row r="17" spans="1:14">
      <c r="A17" s="594" t="s">
        <v>167</v>
      </c>
      <c r="B17" s="595" t="s">
        <v>194</v>
      </c>
      <c r="C17" s="596">
        <v>0.9</v>
      </c>
      <c r="D17" s="596"/>
      <c r="E17" s="596"/>
      <c r="F17" s="596"/>
      <c r="G17" s="595"/>
      <c r="H17" s="596"/>
      <c r="I17" s="595"/>
      <c r="J17" s="595"/>
      <c r="K17" s="595"/>
      <c r="L17" s="595"/>
      <c r="M17" s="595" t="s">
        <v>195</v>
      </c>
      <c r="N17" s="597"/>
    </row>
    <row r="18" spans="1:14">
      <c r="A18" s="594" t="s">
        <v>167</v>
      </c>
      <c r="B18" s="595" t="s">
        <v>196</v>
      </c>
      <c r="C18" s="596">
        <v>0.95</v>
      </c>
      <c r="D18" s="596"/>
      <c r="E18" s="596"/>
      <c r="F18" s="596"/>
      <c r="G18" s="595"/>
      <c r="H18" s="596"/>
      <c r="I18" s="595"/>
      <c r="J18" s="595"/>
      <c r="K18" s="595"/>
      <c r="L18" s="595"/>
      <c r="M18" s="595" t="s">
        <v>197</v>
      </c>
      <c r="N18" s="597"/>
    </row>
    <row r="19" spans="1:14">
      <c r="A19" s="594" t="s">
        <v>167</v>
      </c>
      <c r="B19" s="595" t="s">
        <v>198</v>
      </c>
      <c r="C19" s="596">
        <v>0.8</v>
      </c>
      <c r="D19" s="596"/>
      <c r="E19" s="596"/>
      <c r="F19" s="596"/>
      <c r="G19" s="595"/>
      <c r="H19" s="596"/>
      <c r="I19" s="595"/>
      <c r="J19" s="595"/>
      <c r="K19" s="595"/>
      <c r="L19" s="595"/>
      <c r="M19" s="595" t="s">
        <v>199</v>
      </c>
      <c r="N19" s="597"/>
    </row>
    <row r="20" spans="1:14">
      <c r="A20" s="594" t="s">
        <v>167</v>
      </c>
      <c r="B20" s="595" t="s">
        <v>200</v>
      </c>
      <c r="C20" s="596">
        <v>0.9</v>
      </c>
      <c r="D20" s="596"/>
      <c r="E20" s="596"/>
      <c r="F20" s="596"/>
      <c r="G20" s="595"/>
      <c r="H20" s="596"/>
      <c r="I20" s="595"/>
      <c r="J20" s="595"/>
      <c r="K20" s="595"/>
      <c r="L20" s="595"/>
      <c r="M20" s="595" t="s">
        <v>201</v>
      </c>
      <c r="N20" s="597"/>
    </row>
    <row r="21" spans="1:14">
      <c r="A21" s="594" t="s">
        <v>167</v>
      </c>
      <c r="B21" s="595" t="s">
        <v>202</v>
      </c>
      <c r="C21" s="596">
        <v>4</v>
      </c>
      <c r="D21" s="596"/>
      <c r="E21" s="596"/>
      <c r="F21" s="596"/>
      <c r="G21" s="595"/>
      <c r="H21" s="596"/>
      <c r="I21" s="595"/>
      <c r="J21" s="595"/>
      <c r="K21" s="595"/>
      <c r="L21" s="595"/>
      <c r="M21" s="595"/>
      <c r="N21" s="597"/>
    </row>
    <row r="22" spans="1:14">
      <c r="A22" s="594" t="s">
        <v>167</v>
      </c>
      <c r="B22" s="595" t="s">
        <v>203</v>
      </c>
      <c r="C22" s="596">
        <v>3</v>
      </c>
      <c r="D22" s="596"/>
      <c r="E22" s="596"/>
      <c r="F22" s="596"/>
      <c r="G22" s="595"/>
      <c r="H22" s="596"/>
      <c r="I22" s="595"/>
      <c r="J22" s="595"/>
      <c r="K22" s="595"/>
      <c r="L22" s="595"/>
      <c r="M22" s="595"/>
      <c r="N22" s="597"/>
    </row>
    <row r="23" spans="1:14">
      <c r="A23" s="594" t="s">
        <v>204</v>
      </c>
      <c r="B23" s="595" t="s">
        <v>205</v>
      </c>
      <c r="C23" s="596">
        <v>2E-3</v>
      </c>
      <c r="D23" s="596"/>
      <c r="E23" s="596"/>
      <c r="F23" s="596" t="s">
        <v>206</v>
      </c>
      <c r="G23" s="595" t="s">
        <v>207</v>
      </c>
      <c r="H23" s="596">
        <v>2019</v>
      </c>
      <c r="I23" s="595" t="s">
        <v>208</v>
      </c>
      <c r="J23" s="595" t="s">
        <v>172</v>
      </c>
      <c r="K23" s="595" t="s">
        <v>207</v>
      </c>
      <c r="L23" s="595" t="s">
        <v>209</v>
      </c>
      <c r="M23" s="599" t="s">
        <v>210</v>
      </c>
      <c r="N23" s="597"/>
    </row>
    <row r="24" spans="1:14">
      <c r="A24" s="594" t="s">
        <v>204</v>
      </c>
      <c r="B24" s="595" t="s">
        <v>211</v>
      </c>
      <c r="C24" s="596">
        <v>1.7999999999999999E-2</v>
      </c>
      <c r="D24" s="596"/>
      <c r="E24" s="596"/>
      <c r="F24" s="596" t="s">
        <v>212</v>
      </c>
      <c r="G24" s="595" t="s">
        <v>207</v>
      </c>
      <c r="H24" s="596">
        <v>2020</v>
      </c>
      <c r="I24" s="595" t="s">
        <v>208</v>
      </c>
      <c r="J24" s="595" t="s">
        <v>172</v>
      </c>
      <c r="K24" s="595" t="s">
        <v>207</v>
      </c>
      <c r="L24" s="595" t="s">
        <v>209</v>
      </c>
      <c r="M24" s="599" t="s">
        <v>210</v>
      </c>
      <c r="N24" s="597"/>
    </row>
    <row r="25" spans="1:14">
      <c r="A25" s="600" t="s">
        <v>167</v>
      </c>
      <c r="B25" s="601" t="s">
        <v>213</v>
      </c>
      <c r="C25" s="602">
        <v>116</v>
      </c>
      <c r="D25" s="602"/>
      <c r="E25" s="602"/>
      <c r="F25" s="602" t="s">
        <v>169</v>
      </c>
      <c r="G25" s="603" t="s">
        <v>214</v>
      </c>
      <c r="H25" s="602">
        <v>2019</v>
      </c>
      <c r="I25" s="603" t="s">
        <v>171</v>
      </c>
      <c r="J25" s="603" t="s">
        <v>172</v>
      </c>
      <c r="K25" s="603" t="s">
        <v>214</v>
      </c>
      <c r="L25" s="599" t="s">
        <v>215</v>
      </c>
      <c r="M25" s="604"/>
      <c r="N25" s="605"/>
    </row>
    <row r="26" spans="1:14">
      <c r="A26" s="600" t="s">
        <v>216</v>
      </c>
      <c r="B26" s="603" t="s">
        <v>217</v>
      </c>
      <c r="C26" s="602">
        <v>53.43</v>
      </c>
      <c r="D26" s="602"/>
      <c r="E26" s="602"/>
      <c r="F26" s="602" t="s">
        <v>218</v>
      </c>
      <c r="G26" s="603" t="s">
        <v>214</v>
      </c>
      <c r="H26" s="602" t="s">
        <v>219</v>
      </c>
      <c r="I26" s="603" t="s">
        <v>220</v>
      </c>
      <c r="J26" s="603" t="s">
        <v>172</v>
      </c>
      <c r="K26" s="603" t="s">
        <v>207</v>
      </c>
      <c r="L26" s="603" t="s">
        <v>221</v>
      </c>
      <c r="M26" s="603"/>
      <c r="N26" s="605"/>
    </row>
    <row r="27" spans="1:14">
      <c r="A27" s="600" t="s">
        <v>216</v>
      </c>
      <c r="B27" s="603" t="s">
        <v>222</v>
      </c>
      <c r="C27" s="602">
        <v>72.55</v>
      </c>
      <c r="D27" s="602"/>
      <c r="E27" s="602"/>
      <c r="F27" s="602" t="s">
        <v>218</v>
      </c>
      <c r="G27" s="603" t="s">
        <v>207</v>
      </c>
      <c r="H27" s="602" t="s">
        <v>219</v>
      </c>
      <c r="I27" s="603" t="s">
        <v>220</v>
      </c>
      <c r="J27" s="603" t="s">
        <v>172</v>
      </c>
      <c r="K27" s="603" t="s">
        <v>207</v>
      </c>
      <c r="L27" s="603" t="s">
        <v>221</v>
      </c>
      <c r="M27" s="603"/>
      <c r="N27" s="605"/>
    </row>
    <row r="28" spans="1:14">
      <c r="A28" s="600" t="s">
        <v>216</v>
      </c>
      <c r="B28" s="603" t="s">
        <v>223</v>
      </c>
      <c r="C28" s="606">
        <v>1050</v>
      </c>
      <c r="D28" s="602"/>
      <c r="E28" s="602"/>
      <c r="F28" s="602" t="s">
        <v>218</v>
      </c>
      <c r="G28" s="603" t="s">
        <v>207</v>
      </c>
      <c r="H28" s="602" t="s">
        <v>219</v>
      </c>
      <c r="I28" s="603" t="s">
        <v>220</v>
      </c>
      <c r="J28" s="603" t="s">
        <v>172</v>
      </c>
      <c r="K28" s="603" t="s">
        <v>207</v>
      </c>
      <c r="L28" s="603" t="s">
        <v>224</v>
      </c>
      <c r="M28" s="603"/>
      <c r="N28" s="605" t="s">
        <v>225</v>
      </c>
    </row>
    <row r="29" spans="1:14">
      <c r="A29" s="600" t="s">
        <v>216</v>
      </c>
      <c r="B29" s="603" t="s">
        <v>226</v>
      </c>
      <c r="C29" s="602">
        <v>13.17</v>
      </c>
      <c r="D29" s="602"/>
      <c r="E29" s="602"/>
      <c r="F29" s="602" t="s">
        <v>218</v>
      </c>
      <c r="G29" s="603" t="s">
        <v>207</v>
      </c>
      <c r="H29" s="602" t="s">
        <v>219</v>
      </c>
      <c r="I29" s="603" t="s">
        <v>220</v>
      </c>
      <c r="J29" s="603" t="s">
        <v>172</v>
      </c>
      <c r="K29" s="603" t="s">
        <v>207</v>
      </c>
      <c r="L29" s="603" t="s">
        <v>221</v>
      </c>
      <c r="M29" s="603"/>
      <c r="N29" s="605"/>
    </row>
    <row r="30" spans="1:14">
      <c r="A30" s="600" t="s">
        <v>216</v>
      </c>
      <c r="B30" s="603" t="s">
        <v>227</v>
      </c>
      <c r="C30" s="602">
        <v>24.64</v>
      </c>
      <c r="D30" s="602"/>
      <c r="E30" s="602"/>
      <c r="F30" s="602" t="s">
        <v>218</v>
      </c>
      <c r="G30" s="603" t="s">
        <v>207</v>
      </c>
      <c r="H30" s="602" t="s">
        <v>219</v>
      </c>
      <c r="I30" s="603" t="s">
        <v>220</v>
      </c>
      <c r="J30" s="603" t="s">
        <v>172</v>
      </c>
      <c r="K30" s="603" t="s">
        <v>207</v>
      </c>
      <c r="L30" s="603" t="s">
        <v>221</v>
      </c>
      <c r="M30" s="603"/>
      <c r="N30" s="605"/>
    </row>
    <row r="31" spans="1:14">
      <c r="A31" s="600" t="s">
        <v>216</v>
      </c>
      <c r="B31" s="603" t="s">
        <v>228</v>
      </c>
      <c r="C31" s="602">
        <v>56.7</v>
      </c>
      <c r="D31" s="602"/>
      <c r="E31" s="602"/>
      <c r="F31" s="602" t="s">
        <v>218</v>
      </c>
      <c r="G31" s="603" t="s">
        <v>207</v>
      </c>
      <c r="H31" s="602" t="s">
        <v>219</v>
      </c>
      <c r="I31" s="603" t="s">
        <v>220</v>
      </c>
      <c r="J31" s="603" t="s">
        <v>172</v>
      </c>
      <c r="K31" s="603" t="s">
        <v>207</v>
      </c>
      <c r="L31" s="603" t="s">
        <v>221</v>
      </c>
      <c r="M31" s="603"/>
      <c r="N31" s="605"/>
    </row>
    <row r="32" spans="1:14">
      <c r="A32" s="600" t="s">
        <v>216</v>
      </c>
      <c r="B32" s="603" t="s">
        <v>229</v>
      </c>
      <c r="C32" s="602">
        <v>365.87</v>
      </c>
      <c r="D32" s="602"/>
      <c r="E32" s="602"/>
      <c r="F32" s="602" t="s">
        <v>218</v>
      </c>
      <c r="G32" s="603" t="s">
        <v>207</v>
      </c>
      <c r="H32" s="602" t="s">
        <v>219</v>
      </c>
      <c r="I32" s="603" t="s">
        <v>220</v>
      </c>
      <c r="J32" s="603" t="s">
        <v>172</v>
      </c>
      <c r="K32" s="603" t="s">
        <v>207</v>
      </c>
      <c r="L32" s="603" t="s">
        <v>221</v>
      </c>
      <c r="M32" s="603"/>
      <c r="N32" s="605"/>
    </row>
    <row r="33" spans="1:14">
      <c r="A33" s="600" t="s">
        <v>216</v>
      </c>
      <c r="B33" s="603" t="s">
        <v>230</v>
      </c>
      <c r="C33" s="602">
        <v>1170</v>
      </c>
      <c r="D33" s="602"/>
      <c r="E33" s="602"/>
      <c r="F33" s="602" t="s">
        <v>218</v>
      </c>
      <c r="G33" s="603" t="s">
        <v>214</v>
      </c>
      <c r="H33" s="602">
        <v>2019</v>
      </c>
      <c r="I33" s="603" t="s">
        <v>171</v>
      </c>
      <c r="J33" s="603" t="s">
        <v>172</v>
      </c>
      <c r="K33" s="603" t="s">
        <v>170</v>
      </c>
      <c r="L33" s="603" t="s">
        <v>231</v>
      </c>
      <c r="M33" s="603"/>
      <c r="N33" s="605"/>
    </row>
    <row r="34" spans="1:14">
      <c r="A34" s="600" t="s">
        <v>216</v>
      </c>
      <c r="B34" s="603" t="s">
        <v>232</v>
      </c>
      <c r="C34" s="602">
        <v>400</v>
      </c>
      <c r="D34" s="602"/>
      <c r="E34" s="602"/>
      <c r="F34" s="602" t="s">
        <v>218</v>
      </c>
      <c r="G34" s="603" t="s">
        <v>214</v>
      </c>
      <c r="H34" s="602">
        <v>2019</v>
      </c>
      <c r="I34" s="603" t="s">
        <v>171</v>
      </c>
      <c r="J34" s="603" t="s">
        <v>172</v>
      </c>
      <c r="K34" s="603" t="s">
        <v>170</v>
      </c>
      <c r="L34" s="603" t="s">
        <v>231</v>
      </c>
      <c r="M34" s="603"/>
      <c r="N34" s="605"/>
    </row>
    <row r="35" spans="1:14">
      <c r="A35" s="600" t="s">
        <v>216</v>
      </c>
      <c r="B35" s="603" t="s">
        <v>233</v>
      </c>
      <c r="C35" s="602">
        <v>1000</v>
      </c>
      <c r="D35" s="602"/>
      <c r="E35" s="602"/>
      <c r="F35" s="602" t="s">
        <v>218</v>
      </c>
      <c r="G35" s="603" t="s">
        <v>214</v>
      </c>
      <c r="H35" s="602">
        <v>2019</v>
      </c>
      <c r="I35" s="603" t="s">
        <v>171</v>
      </c>
      <c r="J35" s="603" t="s">
        <v>172</v>
      </c>
      <c r="K35" s="603" t="s">
        <v>170</v>
      </c>
      <c r="L35" s="603" t="s">
        <v>231</v>
      </c>
      <c r="M35" s="603"/>
      <c r="N35" s="605"/>
    </row>
    <row r="36" spans="1:14">
      <c r="A36" s="607" t="s">
        <v>234</v>
      </c>
      <c r="B36" s="608" t="s">
        <v>235</v>
      </c>
      <c r="C36" s="609">
        <v>141.5</v>
      </c>
      <c r="D36" s="609"/>
      <c r="E36" s="609"/>
      <c r="F36" s="609" t="s">
        <v>236</v>
      </c>
      <c r="G36" s="608"/>
      <c r="H36" s="609">
        <v>2014</v>
      </c>
      <c r="I36" s="609" t="s">
        <v>171</v>
      </c>
      <c r="J36" s="610"/>
      <c r="K36" s="609"/>
      <c r="L36" s="610"/>
      <c r="M36" s="608"/>
      <c r="N36" s="611"/>
    </row>
    <row r="37" spans="1:14">
      <c r="A37" s="607" t="s">
        <v>237</v>
      </c>
      <c r="B37" s="608" t="s">
        <v>238</v>
      </c>
      <c r="C37" s="609">
        <v>15</v>
      </c>
      <c r="D37" s="609"/>
      <c r="E37" s="609"/>
      <c r="F37" s="609" t="s">
        <v>239</v>
      </c>
      <c r="G37" s="608" t="s">
        <v>240</v>
      </c>
      <c r="H37" s="609">
        <v>2021</v>
      </c>
      <c r="I37" s="609" t="s">
        <v>171</v>
      </c>
      <c r="J37" s="610" t="s">
        <v>172</v>
      </c>
      <c r="K37" s="609" t="s">
        <v>240</v>
      </c>
      <c r="L37" s="612" t="s">
        <v>241</v>
      </c>
      <c r="M37" s="613" t="s">
        <v>242</v>
      </c>
      <c r="N37" s="611"/>
    </row>
    <row r="38" spans="1:14">
      <c r="A38" s="600" t="s">
        <v>234</v>
      </c>
      <c r="B38" s="603" t="s">
        <v>243</v>
      </c>
      <c r="C38" s="602">
        <v>125.16</v>
      </c>
      <c r="D38" s="602"/>
      <c r="E38" s="602"/>
      <c r="F38" s="602" t="s">
        <v>244</v>
      </c>
      <c r="G38" s="603" t="s">
        <v>240</v>
      </c>
      <c r="H38" s="602">
        <v>2021</v>
      </c>
      <c r="I38" s="603" t="s">
        <v>171</v>
      </c>
      <c r="J38" s="603" t="s">
        <v>172</v>
      </c>
      <c r="K38" s="603" t="s">
        <v>240</v>
      </c>
      <c r="L38" s="603" t="s">
        <v>245</v>
      </c>
      <c r="M38" s="603"/>
      <c r="N38" s="605" t="s">
        <v>246</v>
      </c>
    </row>
    <row r="39" spans="1:14">
      <c r="A39" s="600" t="s">
        <v>234</v>
      </c>
      <c r="B39" s="603" t="s">
        <v>247</v>
      </c>
      <c r="C39" s="602">
        <v>107.63</v>
      </c>
      <c r="D39" s="602"/>
      <c r="E39" s="602"/>
      <c r="F39" s="602" t="s">
        <v>244</v>
      </c>
      <c r="G39" s="603" t="s">
        <v>240</v>
      </c>
      <c r="H39" s="602">
        <v>2021</v>
      </c>
      <c r="I39" s="603" t="s">
        <v>208</v>
      </c>
      <c r="J39" s="603" t="s">
        <v>172</v>
      </c>
      <c r="K39" s="603" t="s">
        <v>240</v>
      </c>
      <c r="L39" s="603" t="s">
        <v>245</v>
      </c>
      <c r="M39" s="603"/>
      <c r="N39" s="605" t="s">
        <v>248</v>
      </c>
    </row>
    <row r="40" spans="1:14">
      <c r="A40" s="600" t="s">
        <v>234</v>
      </c>
      <c r="B40" s="603" t="s">
        <v>249</v>
      </c>
      <c r="C40" s="602">
        <v>53</v>
      </c>
      <c r="D40" s="602"/>
      <c r="E40" s="602"/>
      <c r="F40" s="602" t="s">
        <v>250</v>
      </c>
      <c r="G40" s="603" t="s">
        <v>214</v>
      </c>
      <c r="H40" s="602">
        <v>2016</v>
      </c>
      <c r="I40" s="603" t="s">
        <v>171</v>
      </c>
      <c r="J40" s="603" t="s">
        <v>172</v>
      </c>
      <c r="K40" s="603" t="s">
        <v>240</v>
      </c>
      <c r="L40" s="599" t="s">
        <v>251</v>
      </c>
      <c r="M40" s="595"/>
      <c r="N40" s="597"/>
    </row>
    <row r="41" spans="1:14">
      <c r="A41" s="600" t="s">
        <v>234</v>
      </c>
      <c r="B41" s="603" t="s">
        <v>252</v>
      </c>
      <c r="C41" s="602">
        <v>0.05</v>
      </c>
      <c r="D41" s="602"/>
      <c r="E41" s="602"/>
      <c r="F41" s="602" t="s">
        <v>253</v>
      </c>
      <c r="G41" s="603" t="s">
        <v>214</v>
      </c>
      <c r="H41" s="602">
        <v>2017</v>
      </c>
      <c r="I41" s="603" t="s">
        <v>171</v>
      </c>
      <c r="J41" s="603" t="s">
        <v>172</v>
      </c>
      <c r="K41" s="603" t="s">
        <v>240</v>
      </c>
      <c r="L41" s="599" t="s">
        <v>251</v>
      </c>
      <c r="M41" s="595"/>
      <c r="N41" s="597"/>
    </row>
    <row r="42" spans="1:14">
      <c r="A42" s="600" t="s">
        <v>234</v>
      </c>
      <c r="B42" s="603" t="s">
        <v>254</v>
      </c>
      <c r="C42" s="602">
        <v>0.11</v>
      </c>
      <c r="D42" s="602"/>
      <c r="E42" s="602"/>
      <c r="F42" s="602" t="s">
        <v>253</v>
      </c>
      <c r="G42" s="603" t="s">
        <v>214</v>
      </c>
      <c r="H42" s="602">
        <v>2017</v>
      </c>
      <c r="I42" s="603" t="s">
        <v>171</v>
      </c>
      <c r="J42" s="603" t="s">
        <v>172</v>
      </c>
      <c r="K42" s="603" t="s">
        <v>240</v>
      </c>
      <c r="L42" s="599" t="s">
        <v>251</v>
      </c>
      <c r="M42" s="595"/>
      <c r="N42" s="597"/>
    </row>
    <row r="43" spans="1:14">
      <c r="A43" s="600" t="s">
        <v>234</v>
      </c>
      <c r="B43" s="603" t="s">
        <v>255</v>
      </c>
      <c r="C43" s="602">
        <v>0.09</v>
      </c>
      <c r="D43" s="602"/>
      <c r="E43" s="602"/>
      <c r="F43" s="602" t="s">
        <v>253</v>
      </c>
      <c r="G43" s="603" t="s">
        <v>214</v>
      </c>
      <c r="H43" s="602">
        <v>2017</v>
      </c>
      <c r="I43" s="603" t="s">
        <v>171</v>
      </c>
      <c r="J43" s="603" t="s">
        <v>172</v>
      </c>
      <c r="K43" s="603" t="s">
        <v>240</v>
      </c>
      <c r="L43" s="599" t="s">
        <v>251</v>
      </c>
      <c r="M43" s="595"/>
      <c r="N43" s="597"/>
    </row>
    <row r="44" spans="1:14">
      <c r="A44" s="600" t="s">
        <v>234</v>
      </c>
      <c r="B44" s="603" t="s">
        <v>256</v>
      </c>
      <c r="C44" s="602">
        <v>7.0000000000000007E-2</v>
      </c>
      <c r="D44" s="602"/>
      <c r="E44" s="602"/>
      <c r="F44" s="602" t="s">
        <v>253</v>
      </c>
      <c r="G44" s="603" t="s">
        <v>214</v>
      </c>
      <c r="H44" s="602">
        <v>2017</v>
      </c>
      <c r="I44" s="603" t="s">
        <v>171</v>
      </c>
      <c r="J44" s="603" t="s">
        <v>172</v>
      </c>
      <c r="K44" s="603" t="s">
        <v>240</v>
      </c>
      <c r="L44" s="599" t="s">
        <v>251</v>
      </c>
      <c r="M44" s="595"/>
      <c r="N44" s="597"/>
    </row>
    <row r="45" spans="1:14">
      <c r="A45" s="600" t="s">
        <v>234</v>
      </c>
      <c r="B45" s="603" t="s">
        <v>257</v>
      </c>
      <c r="C45" s="602">
        <f>AVERAGE(C41:C44)*C25</f>
        <v>9.2799999999999994</v>
      </c>
      <c r="D45" s="602"/>
      <c r="E45" s="602"/>
      <c r="F45" s="602" t="s">
        <v>250</v>
      </c>
      <c r="G45" s="603" t="s">
        <v>214</v>
      </c>
      <c r="H45" s="602">
        <v>2017</v>
      </c>
      <c r="I45" s="603" t="s">
        <v>171</v>
      </c>
      <c r="J45" s="603" t="s">
        <v>172</v>
      </c>
      <c r="K45" s="603" t="s">
        <v>240</v>
      </c>
      <c r="L45" s="603" t="s">
        <v>245</v>
      </c>
      <c r="M45" s="595"/>
      <c r="N45" s="597"/>
    </row>
    <row r="46" spans="1:14">
      <c r="A46" s="600" t="s">
        <v>234</v>
      </c>
      <c r="B46" s="603" t="s">
        <v>258</v>
      </c>
      <c r="C46" s="602">
        <v>34.56</v>
      </c>
      <c r="D46" s="602"/>
      <c r="E46" s="602"/>
      <c r="F46" s="602" t="s">
        <v>250</v>
      </c>
      <c r="G46" s="603" t="s">
        <v>214</v>
      </c>
      <c r="H46" s="602">
        <v>2017</v>
      </c>
      <c r="I46" s="603" t="s">
        <v>171</v>
      </c>
      <c r="J46" s="603" t="s">
        <v>172</v>
      </c>
      <c r="K46" s="603" t="s">
        <v>240</v>
      </c>
      <c r="L46" s="603" t="s">
        <v>245</v>
      </c>
      <c r="M46" s="595"/>
      <c r="N46" s="597"/>
    </row>
    <row r="47" spans="1:14">
      <c r="A47" s="600" t="s">
        <v>234</v>
      </c>
      <c r="B47" s="603" t="s">
        <v>259</v>
      </c>
      <c r="C47" s="602">
        <v>25.92</v>
      </c>
      <c r="D47" s="602"/>
      <c r="E47" s="602"/>
      <c r="F47" s="602" t="s">
        <v>250</v>
      </c>
      <c r="G47" s="603" t="s">
        <v>214</v>
      </c>
      <c r="H47" s="602">
        <v>2017</v>
      </c>
      <c r="I47" s="603" t="s">
        <v>171</v>
      </c>
      <c r="J47" s="603" t="s">
        <v>172</v>
      </c>
      <c r="K47" s="603" t="s">
        <v>240</v>
      </c>
      <c r="L47" s="603" t="s">
        <v>245</v>
      </c>
      <c r="M47" s="595"/>
      <c r="N47" s="597"/>
    </row>
    <row r="48" spans="1:14">
      <c r="A48" s="600" t="s">
        <v>234</v>
      </c>
      <c r="B48" s="603" t="s">
        <v>249</v>
      </c>
      <c r="C48" s="602">
        <v>53</v>
      </c>
      <c r="D48" s="602"/>
      <c r="E48" s="602"/>
      <c r="F48" s="602" t="s">
        <v>250</v>
      </c>
      <c r="G48" s="603" t="s">
        <v>214</v>
      </c>
      <c r="H48" s="602">
        <v>2016</v>
      </c>
      <c r="I48" s="603" t="s">
        <v>171</v>
      </c>
      <c r="J48" s="603" t="s">
        <v>172</v>
      </c>
      <c r="K48" s="603" t="s">
        <v>240</v>
      </c>
      <c r="L48" s="599" t="s">
        <v>251</v>
      </c>
      <c r="M48" s="595"/>
      <c r="N48" s="597"/>
    </row>
    <row r="49" spans="1:14">
      <c r="A49" s="600" t="s">
        <v>234</v>
      </c>
      <c r="B49" s="603" t="s">
        <v>260</v>
      </c>
      <c r="C49" s="602">
        <v>152</v>
      </c>
      <c r="D49" s="602"/>
      <c r="E49" s="602"/>
      <c r="F49" s="602" t="s">
        <v>250</v>
      </c>
      <c r="G49" s="603" t="s">
        <v>214</v>
      </c>
      <c r="H49" s="602">
        <v>2017</v>
      </c>
      <c r="I49" s="603" t="s">
        <v>171</v>
      </c>
      <c r="J49" s="603" t="s">
        <v>172</v>
      </c>
      <c r="K49" s="603" t="s">
        <v>240</v>
      </c>
      <c r="L49" s="599" t="s">
        <v>251</v>
      </c>
      <c r="M49" s="595"/>
      <c r="N49" s="597"/>
    </row>
    <row r="50" spans="1:14">
      <c r="A50" s="600" t="s">
        <v>234</v>
      </c>
      <c r="B50" s="603" t="s">
        <v>261</v>
      </c>
      <c r="C50" s="602">
        <v>39.159999999999997</v>
      </c>
      <c r="D50" s="602"/>
      <c r="E50" s="602"/>
      <c r="F50" s="602" t="s">
        <v>262</v>
      </c>
      <c r="G50" s="603" t="s">
        <v>214</v>
      </c>
      <c r="H50" s="602">
        <v>2015</v>
      </c>
      <c r="I50" s="603" t="s">
        <v>263</v>
      </c>
      <c r="J50" s="603" t="s">
        <v>172</v>
      </c>
      <c r="K50" s="603" t="s">
        <v>240</v>
      </c>
      <c r="L50" s="603" t="s">
        <v>245</v>
      </c>
      <c r="M50" s="595"/>
      <c r="N50" s="597"/>
    </row>
    <row r="51" spans="1:14">
      <c r="A51" s="600" t="s">
        <v>234</v>
      </c>
      <c r="B51" s="603" t="s">
        <v>264</v>
      </c>
      <c r="C51" s="602">
        <v>17.399999999999999</v>
      </c>
      <c r="D51" s="602"/>
      <c r="E51" s="602"/>
      <c r="F51" s="602" t="s">
        <v>265</v>
      </c>
      <c r="G51" s="603" t="s">
        <v>214</v>
      </c>
      <c r="H51" s="602">
        <v>2015</v>
      </c>
      <c r="I51" s="603" t="s">
        <v>263</v>
      </c>
      <c r="J51" s="603" t="s">
        <v>172</v>
      </c>
      <c r="K51" s="603" t="s">
        <v>240</v>
      </c>
      <c r="L51" s="599" t="s">
        <v>266</v>
      </c>
      <c r="M51" s="595"/>
      <c r="N51" s="597"/>
    </row>
    <row r="52" spans="1:14">
      <c r="A52" s="600" t="s">
        <v>234</v>
      </c>
      <c r="B52" s="614" t="s">
        <v>267</v>
      </c>
      <c r="C52" s="615">
        <v>70</v>
      </c>
      <c r="D52" s="615"/>
      <c r="E52" s="615"/>
      <c r="F52" s="615" t="s">
        <v>268</v>
      </c>
      <c r="G52" s="603" t="s">
        <v>214</v>
      </c>
      <c r="H52" s="602">
        <v>2020</v>
      </c>
      <c r="I52" s="614" t="s">
        <v>220</v>
      </c>
      <c r="J52" s="614" t="s">
        <v>172</v>
      </c>
      <c r="K52" s="614" t="s">
        <v>214</v>
      </c>
      <c r="L52" s="616" t="s">
        <v>269</v>
      </c>
      <c r="M52" s="595"/>
      <c r="N52" s="597"/>
    </row>
    <row r="53" spans="1:14">
      <c r="A53" s="600" t="s">
        <v>234</v>
      </c>
      <c r="B53" s="595" t="s">
        <v>270</v>
      </c>
      <c r="C53" s="602">
        <v>6.5</v>
      </c>
      <c r="D53" s="596"/>
      <c r="E53" s="596"/>
      <c r="F53" s="602" t="s">
        <v>271</v>
      </c>
      <c r="G53" s="603" t="s">
        <v>214</v>
      </c>
      <c r="H53" s="602">
        <v>2016</v>
      </c>
      <c r="I53" s="603" t="s">
        <v>171</v>
      </c>
      <c r="J53" s="603" t="s">
        <v>172</v>
      </c>
      <c r="K53" s="603" t="s">
        <v>240</v>
      </c>
      <c r="L53" s="617" t="s">
        <v>272</v>
      </c>
      <c r="M53" s="595"/>
      <c r="N53" s="597"/>
    </row>
    <row r="54" spans="1:14">
      <c r="A54" s="600" t="s">
        <v>234</v>
      </c>
      <c r="B54" s="595" t="s">
        <v>273</v>
      </c>
      <c r="C54" s="602">
        <v>9.1</v>
      </c>
      <c r="D54" s="596"/>
      <c r="E54" s="596"/>
      <c r="F54" s="602" t="s">
        <v>271</v>
      </c>
      <c r="G54" s="603" t="s">
        <v>214</v>
      </c>
      <c r="H54" s="602">
        <v>2016</v>
      </c>
      <c r="I54" s="603" t="s">
        <v>171</v>
      </c>
      <c r="J54" s="603" t="s">
        <v>172</v>
      </c>
      <c r="K54" s="603" t="s">
        <v>240</v>
      </c>
      <c r="L54" s="595" t="s">
        <v>272</v>
      </c>
      <c r="M54" s="595"/>
      <c r="N54" s="597"/>
    </row>
    <row r="55" spans="1:14">
      <c r="A55" s="600" t="s">
        <v>234</v>
      </c>
      <c r="B55" s="595" t="s">
        <v>274</v>
      </c>
      <c r="C55" s="602">
        <v>2.2000000000000002</v>
      </c>
      <c r="D55" s="596"/>
      <c r="E55" s="596"/>
      <c r="F55" s="602" t="s">
        <v>271</v>
      </c>
      <c r="G55" s="603" t="s">
        <v>214</v>
      </c>
      <c r="H55" s="602">
        <v>2017</v>
      </c>
      <c r="I55" s="603" t="s">
        <v>171</v>
      </c>
      <c r="J55" s="603" t="s">
        <v>172</v>
      </c>
      <c r="K55" s="603" t="s">
        <v>240</v>
      </c>
      <c r="L55" s="617" t="s">
        <v>275</v>
      </c>
      <c r="M55" s="595"/>
      <c r="N55" s="597"/>
    </row>
    <row r="56" spans="1:14">
      <c r="A56" s="594" t="s">
        <v>276</v>
      </c>
      <c r="B56" s="603" t="s">
        <v>277</v>
      </c>
      <c r="C56" s="602">
        <v>72</v>
      </c>
      <c r="D56" s="602"/>
      <c r="E56" s="602"/>
      <c r="F56" s="602" t="s">
        <v>278</v>
      </c>
      <c r="G56" s="603" t="s">
        <v>207</v>
      </c>
      <c r="H56" s="602">
        <v>2011</v>
      </c>
      <c r="I56" s="603"/>
      <c r="J56" s="603" t="s">
        <v>172</v>
      </c>
      <c r="K56" s="603" t="s">
        <v>207</v>
      </c>
      <c r="L56" s="618" t="s">
        <v>279</v>
      </c>
      <c r="M56" s="595"/>
      <c r="N56" s="597"/>
    </row>
    <row r="57" spans="1:14">
      <c r="A57" s="594" t="s">
        <v>276</v>
      </c>
      <c r="B57" s="603" t="s">
        <v>280</v>
      </c>
      <c r="C57" s="602">
        <f>AVERAGE(D57:E57)</f>
        <v>49</v>
      </c>
      <c r="D57" s="602">
        <v>35</v>
      </c>
      <c r="E57" s="602">
        <v>63</v>
      </c>
      <c r="F57" s="602" t="s">
        <v>278</v>
      </c>
      <c r="G57" s="603" t="s">
        <v>207</v>
      </c>
      <c r="H57" s="602">
        <v>2011</v>
      </c>
      <c r="I57" s="603"/>
      <c r="J57" s="603" t="s">
        <v>172</v>
      </c>
      <c r="K57" s="603" t="s">
        <v>207</v>
      </c>
      <c r="L57" s="618" t="s">
        <v>279</v>
      </c>
      <c r="M57" s="595"/>
      <c r="N57" s="597"/>
    </row>
    <row r="58" spans="1:14">
      <c r="A58" s="594" t="s">
        <v>276</v>
      </c>
      <c r="B58" s="595" t="s">
        <v>281</v>
      </c>
      <c r="C58" s="596">
        <v>60</v>
      </c>
      <c r="D58" s="596"/>
      <c r="E58" s="596"/>
      <c r="F58" s="602" t="s">
        <v>278</v>
      </c>
      <c r="G58" s="595"/>
      <c r="H58" s="596"/>
      <c r="I58" s="595"/>
      <c r="J58" s="595"/>
      <c r="K58" s="595"/>
      <c r="L58" s="619" t="s">
        <v>282</v>
      </c>
      <c r="M58" s="595"/>
      <c r="N58" s="597"/>
    </row>
    <row r="59" spans="1:14">
      <c r="A59" s="594" t="s">
        <v>276</v>
      </c>
      <c r="B59" s="595" t="s">
        <v>283</v>
      </c>
      <c r="C59" s="596">
        <v>350</v>
      </c>
      <c r="D59" s="596"/>
      <c r="E59" s="596"/>
      <c r="F59" s="602" t="s">
        <v>278</v>
      </c>
      <c r="G59" s="595"/>
      <c r="H59" s="596"/>
      <c r="I59" s="595"/>
      <c r="J59" s="595"/>
      <c r="K59" s="595"/>
      <c r="L59" s="619" t="s">
        <v>282</v>
      </c>
      <c r="M59" s="595"/>
      <c r="N59" s="597"/>
    </row>
    <row r="60" spans="1:14">
      <c r="A60" s="594" t="s">
        <v>276</v>
      </c>
      <c r="B60" s="595" t="s">
        <v>284</v>
      </c>
      <c r="C60" s="596">
        <v>510</v>
      </c>
      <c r="D60" s="596"/>
      <c r="E60" s="596"/>
      <c r="F60" s="602" t="s">
        <v>278</v>
      </c>
      <c r="G60" s="595"/>
      <c r="H60" s="596"/>
      <c r="I60" s="595"/>
      <c r="J60" s="595"/>
      <c r="K60" s="595"/>
      <c r="L60" s="619" t="s">
        <v>282</v>
      </c>
      <c r="M60" s="595"/>
      <c r="N60" s="597"/>
    </row>
    <row r="61" spans="1:14">
      <c r="A61" s="594" t="s">
        <v>276</v>
      </c>
      <c r="B61" s="595" t="s">
        <v>285</v>
      </c>
      <c r="C61" s="596">
        <v>100</v>
      </c>
      <c r="D61" s="596"/>
      <c r="E61" s="596"/>
      <c r="F61" s="602" t="s">
        <v>278</v>
      </c>
      <c r="G61" s="595"/>
      <c r="H61" s="596"/>
      <c r="I61" s="595"/>
      <c r="J61" s="595"/>
      <c r="K61" s="595"/>
      <c r="L61" s="619" t="s">
        <v>282</v>
      </c>
      <c r="M61" s="595"/>
      <c r="N61" s="597"/>
    </row>
    <row r="62" spans="1:14">
      <c r="A62" s="594" t="s">
        <v>276</v>
      </c>
      <c r="B62" s="595" t="s">
        <v>286</v>
      </c>
      <c r="C62" s="596">
        <v>410</v>
      </c>
      <c r="D62" s="596"/>
      <c r="E62" s="596"/>
      <c r="F62" s="602" t="s">
        <v>278</v>
      </c>
      <c r="G62" s="595"/>
      <c r="H62" s="596"/>
      <c r="I62" s="595"/>
      <c r="J62" s="595"/>
      <c r="K62" s="595"/>
      <c r="L62" s="595" t="s">
        <v>287</v>
      </c>
      <c r="M62" s="595"/>
      <c r="N62" s="597"/>
    </row>
    <row r="63" spans="1:14">
      <c r="A63" s="594" t="s">
        <v>276</v>
      </c>
      <c r="B63" s="595" t="s">
        <v>288</v>
      </c>
      <c r="C63" s="620">
        <v>77.8</v>
      </c>
      <c r="D63" s="596"/>
      <c r="E63" s="596"/>
      <c r="F63" s="602" t="s">
        <v>278</v>
      </c>
      <c r="G63" s="595"/>
      <c r="H63" s="596"/>
      <c r="I63" s="595"/>
      <c r="J63" s="595"/>
      <c r="K63" s="595"/>
      <c r="L63" s="595" t="s">
        <v>287</v>
      </c>
      <c r="M63" s="595"/>
      <c r="N63" s="597"/>
    </row>
    <row r="64" spans="1:14">
      <c r="A64" s="594" t="s">
        <v>276</v>
      </c>
      <c r="B64" s="595" t="s">
        <v>289</v>
      </c>
      <c r="C64" s="596">
        <v>0.90500000000000003</v>
      </c>
      <c r="D64" s="596"/>
      <c r="E64" s="596"/>
      <c r="F64" s="602" t="s">
        <v>150</v>
      </c>
      <c r="G64" s="595"/>
      <c r="H64" s="596"/>
      <c r="I64" s="595"/>
      <c r="J64" s="595"/>
      <c r="K64" s="595"/>
      <c r="L64" s="595" t="s">
        <v>287</v>
      </c>
      <c r="M64" s="595"/>
      <c r="N64" s="597"/>
    </row>
    <row r="65" spans="1:15">
      <c r="A65" s="600" t="s">
        <v>234</v>
      </c>
      <c r="B65" s="603" t="s">
        <v>267</v>
      </c>
      <c r="C65" s="602">
        <v>2.6890000000000001</v>
      </c>
      <c r="D65" s="602"/>
      <c r="E65" s="602"/>
      <c r="F65" s="602" t="s">
        <v>147</v>
      </c>
      <c r="G65" s="603" t="s">
        <v>214</v>
      </c>
      <c r="H65" s="602">
        <v>2017</v>
      </c>
      <c r="I65" s="603" t="s">
        <v>220</v>
      </c>
      <c r="J65" s="603" t="s">
        <v>172</v>
      </c>
      <c r="K65" s="603"/>
      <c r="L65" s="604" t="s">
        <v>290</v>
      </c>
      <c r="M65" s="604"/>
      <c r="N65" s="605"/>
    </row>
    <row r="66" spans="1:15">
      <c r="A66" s="600" t="s">
        <v>234</v>
      </c>
      <c r="B66" s="603" t="s">
        <v>291</v>
      </c>
      <c r="C66" s="602">
        <v>2.3479999999999999</v>
      </c>
      <c r="D66" s="602"/>
      <c r="E66" s="602"/>
      <c r="F66" s="602" t="s">
        <v>147</v>
      </c>
      <c r="G66" s="603" t="s">
        <v>214</v>
      </c>
      <c r="H66" s="602">
        <v>2017</v>
      </c>
      <c r="I66" s="603" t="s">
        <v>220</v>
      </c>
      <c r="J66" s="603" t="s">
        <v>172</v>
      </c>
      <c r="K66" s="603"/>
      <c r="L66" s="604" t="s">
        <v>290</v>
      </c>
      <c r="M66" s="604"/>
      <c r="N66" s="605"/>
    </row>
    <row r="67" spans="1:15">
      <c r="A67" s="600" t="s">
        <v>234</v>
      </c>
      <c r="B67" s="603" t="s">
        <v>292</v>
      </c>
      <c r="C67" s="602">
        <v>0.75</v>
      </c>
      <c r="D67" s="602"/>
      <c r="E67" s="602"/>
      <c r="F67" s="602" t="s">
        <v>147</v>
      </c>
      <c r="G67" s="603" t="s">
        <v>214</v>
      </c>
      <c r="H67" s="602">
        <v>2017</v>
      </c>
      <c r="I67" s="603" t="s">
        <v>220</v>
      </c>
      <c r="J67" s="603" t="s">
        <v>172</v>
      </c>
      <c r="K67" s="603"/>
      <c r="L67" s="604" t="s">
        <v>290</v>
      </c>
      <c r="M67" s="604"/>
      <c r="N67" s="605"/>
    </row>
    <row r="68" spans="1:15">
      <c r="A68" s="600" t="s">
        <v>234</v>
      </c>
      <c r="B68" s="603" t="s">
        <v>293</v>
      </c>
      <c r="C68" s="602">
        <v>0.65500000000000003</v>
      </c>
      <c r="D68" s="602"/>
      <c r="E68" s="602"/>
      <c r="F68" s="602" t="s">
        <v>147</v>
      </c>
      <c r="G68" s="603" t="s">
        <v>214</v>
      </c>
      <c r="H68" s="602">
        <v>2017</v>
      </c>
      <c r="I68" s="603" t="s">
        <v>220</v>
      </c>
      <c r="J68" s="603" t="s">
        <v>172</v>
      </c>
      <c r="K68" s="603"/>
      <c r="L68" s="604" t="s">
        <v>290</v>
      </c>
      <c r="M68" s="604"/>
      <c r="N68" s="605"/>
    </row>
    <row r="69" spans="1:15">
      <c r="A69" s="600" t="s">
        <v>234</v>
      </c>
      <c r="B69" s="614" t="s">
        <v>267</v>
      </c>
      <c r="C69" s="615">
        <v>70</v>
      </c>
      <c r="D69" s="615"/>
      <c r="E69" s="615"/>
      <c r="F69" s="615" t="s">
        <v>268</v>
      </c>
      <c r="G69" s="603" t="s">
        <v>214</v>
      </c>
      <c r="H69" s="602">
        <v>2020</v>
      </c>
      <c r="I69" s="614" t="s">
        <v>220</v>
      </c>
      <c r="J69" s="614" t="s">
        <v>172</v>
      </c>
      <c r="K69" s="614" t="s">
        <v>214</v>
      </c>
      <c r="L69" s="616" t="s">
        <v>269</v>
      </c>
      <c r="M69" s="621"/>
      <c r="N69" s="622"/>
    </row>
    <row r="70" spans="1:15">
      <c r="A70" s="600" t="s">
        <v>234</v>
      </c>
      <c r="B70" s="603" t="s">
        <v>264</v>
      </c>
      <c r="C70" s="602">
        <v>17.399999999999999</v>
      </c>
      <c r="D70" s="602"/>
      <c r="E70" s="602"/>
      <c r="F70" s="602" t="s">
        <v>265</v>
      </c>
      <c r="G70" s="603" t="s">
        <v>214</v>
      </c>
      <c r="H70" s="602">
        <v>2015</v>
      </c>
      <c r="I70" s="603" t="s">
        <v>263</v>
      </c>
      <c r="J70" s="603" t="s">
        <v>172</v>
      </c>
      <c r="K70" s="603" t="s">
        <v>240</v>
      </c>
      <c r="L70" s="599" t="s">
        <v>266</v>
      </c>
      <c r="M70" s="604"/>
      <c r="N70" s="605"/>
    </row>
    <row r="71" spans="1:15">
      <c r="A71" s="600" t="s">
        <v>234</v>
      </c>
      <c r="B71" s="603" t="s">
        <v>294</v>
      </c>
      <c r="C71" s="602">
        <v>18.2</v>
      </c>
      <c r="D71" s="602"/>
      <c r="E71" s="602"/>
      <c r="F71" s="602" t="s">
        <v>265</v>
      </c>
      <c r="G71" s="603" t="s">
        <v>214</v>
      </c>
      <c r="H71" s="602">
        <v>2015</v>
      </c>
      <c r="I71" s="603" t="s">
        <v>263</v>
      </c>
      <c r="J71" s="603" t="s">
        <v>172</v>
      </c>
      <c r="K71" s="603" t="s">
        <v>240</v>
      </c>
      <c r="L71" s="599" t="s">
        <v>266</v>
      </c>
      <c r="M71" s="604"/>
      <c r="N71" s="605"/>
    </row>
    <row r="72" spans="1:15">
      <c r="A72" s="600" t="s">
        <v>234</v>
      </c>
      <c r="B72" s="603" t="s">
        <v>295</v>
      </c>
      <c r="C72" s="602">
        <v>17.8</v>
      </c>
      <c r="D72" s="602"/>
      <c r="E72" s="602"/>
      <c r="F72" s="602" t="s">
        <v>265</v>
      </c>
      <c r="G72" s="603" t="s">
        <v>214</v>
      </c>
      <c r="H72" s="602">
        <v>2015</v>
      </c>
      <c r="I72" s="603" t="s">
        <v>263</v>
      </c>
      <c r="J72" s="603" t="s">
        <v>172</v>
      </c>
      <c r="K72" s="603" t="s">
        <v>240</v>
      </c>
      <c r="L72" s="603" t="s">
        <v>245</v>
      </c>
      <c r="M72" s="603"/>
      <c r="N72" s="605"/>
    </row>
    <row r="73" spans="1:15">
      <c r="A73" s="600" t="s">
        <v>234</v>
      </c>
      <c r="B73" s="603" t="s">
        <v>296</v>
      </c>
      <c r="C73" s="602">
        <v>1.28</v>
      </c>
      <c r="D73" s="602"/>
      <c r="E73" s="602"/>
      <c r="F73" s="602" t="s">
        <v>271</v>
      </c>
      <c r="G73" s="602"/>
      <c r="H73" s="602"/>
      <c r="I73" s="602"/>
      <c r="J73" s="602"/>
      <c r="K73" s="602"/>
      <c r="L73" s="603" t="s">
        <v>245</v>
      </c>
      <c r="M73" s="603"/>
      <c r="N73" s="605"/>
      <c r="O73" s="107"/>
    </row>
    <row r="74" spans="1:15">
      <c r="A74" s="600" t="s">
        <v>234</v>
      </c>
      <c r="B74" s="601" t="s">
        <v>297</v>
      </c>
      <c r="C74" s="623">
        <v>2.1</v>
      </c>
      <c r="D74" s="602"/>
      <c r="E74" s="602"/>
      <c r="F74" s="602" t="s">
        <v>271</v>
      </c>
      <c r="G74" s="624" t="s">
        <v>214</v>
      </c>
      <c r="H74" s="602">
        <v>2017</v>
      </c>
      <c r="I74" s="625" t="s">
        <v>298</v>
      </c>
      <c r="J74" s="602" t="s">
        <v>172</v>
      </c>
      <c r="K74" s="626" t="s">
        <v>240</v>
      </c>
      <c r="L74" s="627" t="s">
        <v>251</v>
      </c>
      <c r="M74" s="628"/>
      <c r="N74" s="629"/>
      <c r="O74" s="107"/>
    </row>
    <row r="75" spans="1:15">
      <c r="A75" s="600" t="s">
        <v>234</v>
      </c>
      <c r="B75" s="601" t="s">
        <v>299</v>
      </c>
      <c r="C75" s="623">
        <v>12.26</v>
      </c>
      <c r="D75" s="602"/>
      <c r="E75" s="602"/>
      <c r="F75" s="602" t="s">
        <v>268</v>
      </c>
      <c r="G75" s="630"/>
      <c r="H75" s="602"/>
      <c r="I75" s="625"/>
      <c r="J75" s="602"/>
      <c r="K75" s="625"/>
      <c r="L75" s="599" t="s">
        <v>266</v>
      </c>
      <c r="M75" s="628" t="s">
        <v>300</v>
      </c>
      <c r="N75" s="605"/>
      <c r="O75" s="107"/>
    </row>
    <row r="76" spans="1:15">
      <c r="A76" s="600" t="s">
        <v>234</v>
      </c>
      <c r="B76" s="601" t="s">
        <v>301</v>
      </c>
      <c r="C76" s="623">
        <v>2880</v>
      </c>
      <c r="D76" s="602"/>
      <c r="E76" s="602"/>
      <c r="F76" s="602" t="s">
        <v>302</v>
      </c>
      <c r="G76" s="630" t="s">
        <v>214</v>
      </c>
      <c r="H76" s="602">
        <v>2016</v>
      </c>
      <c r="I76" s="625" t="s">
        <v>298</v>
      </c>
      <c r="J76" s="602" t="s">
        <v>172</v>
      </c>
      <c r="K76" s="626" t="s">
        <v>240</v>
      </c>
      <c r="L76" s="599" t="s">
        <v>251</v>
      </c>
      <c r="M76" s="628"/>
      <c r="N76" s="605"/>
      <c r="O76" s="107"/>
    </row>
    <row r="77" spans="1:15">
      <c r="A77" s="600" t="s">
        <v>234</v>
      </c>
      <c r="B77" s="601" t="s">
        <v>301</v>
      </c>
      <c r="C77" s="623">
        <v>86.08</v>
      </c>
      <c r="D77" s="602"/>
      <c r="E77" s="602"/>
      <c r="F77" s="602" t="s">
        <v>268</v>
      </c>
      <c r="G77" s="602"/>
      <c r="H77" s="602"/>
      <c r="I77" s="602"/>
      <c r="J77" s="602"/>
      <c r="K77" s="602"/>
      <c r="L77" s="604"/>
      <c r="M77" s="628"/>
      <c r="N77" s="605"/>
      <c r="O77" s="107"/>
    </row>
    <row r="78" spans="1:15">
      <c r="A78" s="600" t="s">
        <v>234</v>
      </c>
      <c r="B78" s="601" t="s">
        <v>303</v>
      </c>
      <c r="C78" s="623">
        <v>33.46</v>
      </c>
      <c r="D78" s="602"/>
      <c r="E78" s="602"/>
      <c r="F78" s="602" t="s">
        <v>304</v>
      </c>
      <c r="G78" s="630" t="s">
        <v>214</v>
      </c>
      <c r="H78" s="602">
        <v>2016</v>
      </c>
      <c r="I78" s="625" t="s">
        <v>298</v>
      </c>
      <c r="J78" s="602" t="s">
        <v>172</v>
      </c>
      <c r="K78" s="626" t="s">
        <v>240</v>
      </c>
      <c r="L78" s="599" t="s">
        <v>251</v>
      </c>
      <c r="M78" s="628"/>
      <c r="N78" s="605"/>
      <c r="O78" s="107"/>
    </row>
    <row r="79" spans="1:15">
      <c r="A79" s="600" t="s">
        <v>234</v>
      </c>
      <c r="B79" s="601" t="s">
        <v>305</v>
      </c>
      <c r="C79" s="623">
        <v>1.9</v>
      </c>
      <c r="D79" s="602"/>
      <c r="E79" s="602"/>
      <c r="F79" s="602" t="s">
        <v>271</v>
      </c>
      <c r="G79" s="630" t="s">
        <v>214</v>
      </c>
      <c r="H79" s="602">
        <v>2016</v>
      </c>
      <c r="I79" s="625" t="s">
        <v>298</v>
      </c>
      <c r="J79" s="602" t="s">
        <v>172</v>
      </c>
      <c r="K79" s="626" t="s">
        <v>240</v>
      </c>
      <c r="L79" s="599" t="s">
        <v>251</v>
      </c>
      <c r="M79" s="628"/>
      <c r="N79" s="605"/>
      <c r="O79" s="107"/>
    </row>
    <row r="80" spans="1:15">
      <c r="A80" s="600" t="s">
        <v>234</v>
      </c>
      <c r="B80" s="601" t="s">
        <v>305</v>
      </c>
      <c r="C80" s="623">
        <v>1.1000000000000001</v>
      </c>
      <c r="D80" s="602"/>
      <c r="E80" s="602"/>
      <c r="F80" s="602" t="s">
        <v>306</v>
      </c>
      <c r="G80" s="630" t="s">
        <v>214</v>
      </c>
      <c r="H80" s="602">
        <v>2016</v>
      </c>
      <c r="I80" s="625" t="s">
        <v>298</v>
      </c>
      <c r="J80" s="602" t="s">
        <v>172</v>
      </c>
      <c r="K80" s="626" t="s">
        <v>240</v>
      </c>
      <c r="L80" s="599" t="s">
        <v>251</v>
      </c>
      <c r="M80" s="628"/>
      <c r="N80" s="605"/>
      <c r="O80" s="107"/>
    </row>
    <row r="81" spans="1:31">
      <c r="A81" s="600" t="s">
        <v>234</v>
      </c>
      <c r="B81" s="601" t="s">
        <v>307</v>
      </c>
      <c r="C81" s="623">
        <v>0.19</v>
      </c>
      <c r="D81" s="602"/>
      <c r="E81" s="602"/>
      <c r="F81" s="602" t="s">
        <v>271</v>
      </c>
      <c r="G81" s="630" t="s">
        <v>214</v>
      </c>
      <c r="H81" s="602">
        <v>2018</v>
      </c>
      <c r="I81" s="625" t="s">
        <v>298</v>
      </c>
      <c r="J81" s="602" t="s">
        <v>172</v>
      </c>
      <c r="K81" s="630" t="s">
        <v>214</v>
      </c>
      <c r="L81" s="599" t="s">
        <v>251</v>
      </c>
      <c r="M81" s="628"/>
      <c r="N81" s="605"/>
      <c r="O81" s="107"/>
    </row>
    <row r="82" spans="1:31">
      <c r="A82" s="600" t="s">
        <v>234</v>
      </c>
      <c r="B82" s="601" t="s">
        <v>308</v>
      </c>
      <c r="C82" s="623">
        <v>3.3</v>
      </c>
      <c r="D82" s="596"/>
      <c r="E82" s="596"/>
      <c r="F82" s="602" t="s">
        <v>271</v>
      </c>
      <c r="G82" s="630" t="s">
        <v>214</v>
      </c>
      <c r="H82" s="602">
        <v>2016</v>
      </c>
      <c r="I82" s="625" t="s">
        <v>298</v>
      </c>
      <c r="J82" s="602" t="s">
        <v>172</v>
      </c>
      <c r="K82" s="626" t="s">
        <v>240</v>
      </c>
      <c r="L82" s="599" t="s">
        <v>251</v>
      </c>
      <c r="M82" s="595"/>
      <c r="N82" s="597"/>
    </row>
    <row r="83" spans="1:31">
      <c r="A83" s="600" t="s">
        <v>234</v>
      </c>
      <c r="B83" s="601" t="s">
        <v>309</v>
      </c>
      <c r="C83" s="623">
        <v>43.2</v>
      </c>
      <c r="D83" s="596"/>
      <c r="E83" s="596"/>
      <c r="F83" s="602" t="s">
        <v>310</v>
      </c>
      <c r="G83" s="630" t="s">
        <v>214</v>
      </c>
      <c r="H83" s="602">
        <v>2016</v>
      </c>
      <c r="I83" s="625" t="s">
        <v>298</v>
      </c>
      <c r="J83" s="602" t="s">
        <v>172</v>
      </c>
      <c r="K83" s="626" t="s">
        <v>240</v>
      </c>
      <c r="L83" s="599" t="s">
        <v>251</v>
      </c>
      <c r="M83" s="595"/>
      <c r="N83" s="597"/>
    </row>
    <row r="84" spans="1:31">
      <c r="A84" s="600" t="s">
        <v>234</v>
      </c>
      <c r="B84" s="601" t="s">
        <v>311</v>
      </c>
      <c r="C84" s="623">
        <v>43</v>
      </c>
      <c r="D84" s="596"/>
      <c r="E84" s="596"/>
      <c r="F84" s="602" t="s">
        <v>310</v>
      </c>
      <c r="G84" s="630" t="s">
        <v>214</v>
      </c>
      <c r="H84" s="602">
        <v>2016</v>
      </c>
      <c r="I84" s="625" t="s">
        <v>298</v>
      </c>
      <c r="J84" s="602" t="s">
        <v>172</v>
      </c>
      <c r="K84" s="626" t="s">
        <v>240</v>
      </c>
      <c r="L84" s="599" t="s">
        <v>251</v>
      </c>
      <c r="M84" s="595"/>
      <c r="N84" s="597"/>
    </row>
    <row r="85" spans="1:31">
      <c r="A85" s="600" t="s">
        <v>234</v>
      </c>
      <c r="B85" s="601" t="s">
        <v>312</v>
      </c>
      <c r="C85" s="623">
        <v>0.83</v>
      </c>
      <c r="D85" s="596"/>
      <c r="E85" s="596"/>
      <c r="F85" s="602" t="s">
        <v>313</v>
      </c>
      <c r="G85" s="630" t="s">
        <v>214</v>
      </c>
      <c r="H85" s="602">
        <v>2016</v>
      </c>
      <c r="I85" s="625" t="s">
        <v>298</v>
      </c>
      <c r="J85" s="602" t="s">
        <v>172</v>
      </c>
      <c r="K85" s="626" t="s">
        <v>240</v>
      </c>
      <c r="L85" s="599" t="s">
        <v>251</v>
      </c>
      <c r="M85" s="595"/>
      <c r="N85" s="597"/>
    </row>
    <row r="86" spans="1:31">
      <c r="A86" s="600" t="s">
        <v>234</v>
      </c>
      <c r="B86" s="601" t="s">
        <v>314</v>
      </c>
      <c r="C86" s="623">
        <v>0.745</v>
      </c>
      <c r="D86" s="596"/>
      <c r="E86" s="596"/>
      <c r="F86" s="602" t="s">
        <v>313</v>
      </c>
      <c r="G86" s="630" t="s">
        <v>214</v>
      </c>
      <c r="H86" s="602">
        <v>2016</v>
      </c>
      <c r="I86" s="625" t="s">
        <v>298</v>
      </c>
      <c r="J86" s="602" t="s">
        <v>172</v>
      </c>
      <c r="K86" s="626" t="s">
        <v>240</v>
      </c>
      <c r="L86" s="599" t="s">
        <v>251</v>
      </c>
      <c r="M86" s="595"/>
      <c r="N86" s="597"/>
    </row>
    <row r="87" spans="1:31">
      <c r="A87" s="600" t="s">
        <v>237</v>
      </c>
      <c r="B87" s="628" t="s">
        <v>315</v>
      </c>
      <c r="C87" s="602">
        <v>0.17</v>
      </c>
      <c r="D87" s="602"/>
      <c r="E87" s="602"/>
      <c r="F87" s="602" t="s">
        <v>142</v>
      </c>
      <c r="G87" s="625" t="s">
        <v>214</v>
      </c>
      <c r="H87" s="602">
        <v>2019</v>
      </c>
      <c r="I87" s="625" t="s">
        <v>298</v>
      </c>
      <c r="J87" s="625" t="s">
        <v>214</v>
      </c>
      <c r="K87" s="625" t="s">
        <v>214</v>
      </c>
      <c r="L87" s="602" t="s">
        <v>172</v>
      </c>
      <c r="M87" s="631" t="s">
        <v>214</v>
      </c>
      <c r="N87" s="632" t="s">
        <v>316</v>
      </c>
      <c r="O87" s="633" t="s">
        <v>317</v>
      </c>
      <c r="P87" s="187"/>
      <c r="Q87" s="187"/>
      <c r="R87" s="187"/>
      <c r="S87" s="107"/>
      <c r="T87" s="107"/>
      <c r="U87" s="107"/>
      <c r="V87" s="107"/>
      <c r="W87" s="107"/>
      <c r="X87" s="107"/>
      <c r="Y87" s="107"/>
      <c r="Z87" s="107"/>
      <c r="AA87" s="107"/>
      <c r="AB87" s="107"/>
      <c r="AC87" s="107"/>
      <c r="AD87" s="107"/>
      <c r="AE87" s="107"/>
    </row>
    <row r="88" spans="1:31">
      <c r="A88" s="600" t="s">
        <v>234</v>
      </c>
      <c r="B88" s="628" t="s">
        <v>318</v>
      </c>
      <c r="C88" s="602">
        <f>AVERAGE(E88,D88)</f>
        <v>121.5</v>
      </c>
      <c r="D88" s="602">
        <v>99</v>
      </c>
      <c r="E88" s="602">
        <v>144</v>
      </c>
      <c r="F88" s="602" t="s">
        <v>250</v>
      </c>
      <c r="G88" s="602" t="s">
        <v>214</v>
      </c>
      <c r="H88" s="602">
        <v>2016</v>
      </c>
      <c r="I88" s="602" t="s">
        <v>171</v>
      </c>
      <c r="J88" s="602" t="s">
        <v>172</v>
      </c>
      <c r="K88" s="602" t="s">
        <v>240</v>
      </c>
      <c r="L88" s="627" t="s">
        <v>251</v>
      </c>
      <c r="M88" s="631"/>
      <c r="N88" s="632"/>
      <c r="O88" s="633"/>
      <c r="P88" s="187"/>
      <c r="Q88" s="187"/>
      <c r="R88" s="187"/>
      <c r="S88" s="107"/>
      <c r="T88" s="107"/>
      <c r="U88" s="107"/>
      <c r="V88" s="107"/>
      <c r="W88" s="107"/>
      <c r="X88" s="107"/>
      <c r="Y88" s="107"/>
      <c r="Z88" s="107"/>
      <c r="AA88" s="107"/>
      <c r="AB88" s="107"/>
      <c r="AC88" s="107"/>
      <c r="AD88" s="107"/>
      <c r="AE88" s="107"/>
    </row>
    <row r="89" spans="1:31">
      <c r="A89" s="607" t="s">
        <v>237</v>
      </c>
      <c r="B89" s="608" t="s">
        <v>319</v>
      </c>
      <c r="C89" s="609">
        <v>5</v>
      </c>
      <c r="D89" s="609"/>
      <c r="E89" s="609"/>
      <c r="F89" s="609" t="s">
        <v>239</v>
      </c>
      <c r="G89" s="608" t="s">
        <v>240</v>
      </c>
      <c r="H89" s="609">
        <v>2021</v>
      </c>
      <c r="I89" s="609" t="s">
        <v>171</v>
      </c>
      <c r="J89" s="610" t="s">
        <v>172</v>
      </c>
      <c r="K89" s="609" t="s">
        <v>240</v>
      </c>
      <c r="L89" s="612" t="s">
        <v>241</v>
      </c>
      <c r="M89" s="613" t="s">
        <v>242</v>
      </c>
      <c r="N89" s="611"/>
      <c r="Q89" s="187"/>
      <c r="R89" s="187"/>
      <c r="S89" s="107"/>
      <c r="T89" s="107"/>
      <c r="U89" s="107"/>
      <c r="V89" s="107"/>
      <c r="W89" s="107"/>
      <c r="X89" s="107"/>
      <c r="Y89" s="107"/>
      <c r="Z89" s="107"/>
      <c r="AA89" s="107"/>
      <c r="AB89" s="107"/>
      <c r="AC89" s="107"/>
      <c r="AD89" s="107"/>
      <c r="AE89" s="107"/>
    </row>
    <row r="90" spans="1:31">
      <c r="A90" s="607"/>
      <c r="B90" s="608" t="s">
        <v>320</v>
      </c>
      <c r="C90" s="609">
        <v>1.1000000000000001</v>
      </c>
      <c r="D90" s="609"/>
      <c r="E90" s="609"/>
      <c r="F90" s="609" t="s">
        <v>321</v>
      </c>
      <c r="G90" s="608"/>
      <c r="H90" s="609">
        <v>2019</v>
      </c>
      <c r="I90" s="609"/>
      <c r="J90" s="610"/>
      <c r="K90" s="609"/>
      <c r="L90" s="612" t="s">
        <v>322</v>
      </c>
      <c r="M90" s="613" t="s">
        <v>323</v>
      </c>
      <c r="N90" s="611"/>
      <c r="Q90" s="187"/>
      <c r="R90" s="187"/>
      <c r="S90" s="107"/>
      <c r="T90" s="107"/>
      <c r="U90" s="107"/>
      <c r="V90" s="107"/>
      <c r="W90" s="107"/>
      <c r="X90" s="107"/>
      <c r="Y90" s="107"/>
      <c r="Z90" s="107"/>
      <c r="AA90" s="107"/>
      <c r="AB90" s="107"/>
      <c r="AC90" s="107"/>
      <c r="AD90" s="107"/>
      <c r="AE90" s="107"/>
    </row>
    <row r="91" spans="1:31">
      <c r="A91" s="607"/>
      <c r="B91" s="634" t="s">
        <v>86</v>
      </c>
      <c r="C91" s="609">
        <v>0.6</v>
      </c>
      <c r="D91" s="609"/>
      <c r="E91" s="609"/>
      <c r="F91" s="609" t="s">
        <v>321</v>
      </c>
      <c r="G91" s="608"/>
      <c r="H91" s="609">
        <v>2019</v>
      </c>
      <c r="I91" s="609"/>
      <c r="J91" s="610"/>
      <c r="K91" s="609"/>
      <c r="L91" s="612" t="s">
        <v>322</v>
      </c>
      <c r="M91" s="613" t="s">
        <v>323</v>
      </c>
      <c r="N91" s="611"/>
      <c r="Q91" s="187"/>
      <c r="R91" s="187"/>
      <c r="S91" s="107"/>
      <c r="T91" s="107"/>
      <c r="U91" s="107"/>
      <c r="V91" s="107"/>
      <c r="W91" s="107"/>
      <c r="X91" s="107"/>
      <c r="Y91" s="107"/>
      <c r="Z91" s="107"/>
      <c r="AA91" s="107"/>
      <c r="AB91" s="107"/>
      <c r="AC91" s="107"/>
      <c r="AD91" s="107"/>
      <c r="AE91" s="107"/>
    </row>
    <row r="92" spans="1:31">
      <c r="A92" s="607"/>
      <c r="B92" s="634" t="s">
        <v>87</v>
      </c>
      <c r="C92" s="609">
        <v>0.7</v>
      </c>
      <c r="D92" s="609"/>
      <c r="E92" s="609"/>
      <c r="F92" s="609" t="s">
        <v>321</v>
      </c>
      <c r="G92" s="608"/>
      <c r="H92" s="609">
        <v>2019</v>
      </c>
      <c r="I92" s="609"/>
      <c r="J92" s="610"/>
      <c r="K92" s="609"/>
      <c r="L92" s="612" t="s">
        <v>322</v>
      </c>
      <c r="M92" s="613" t="s">
        <v>323</v>
      </c>
      <c r="N92" s="611"/>
      <c r="Q92" s="187"/>
      <c r="R92" s="187"/>
      <c r="S92" s="107"/>
      <c r="T92" s="107"/>
      <c r="U92" s="107"/>
      <c r="V92" s="107"/>
      <c r="W92" s="107"/>
      <c r="X92" s="107"/>
      <c r="Y92" s="107"/>
      <c r="Z92" s="107"/>
      <c r="AA92" s="107"/>
      <c r="AB92" s="107"/>
      <c r="AC92" s="107"/>
      <c r="AD92" s="107"/>
      <c r="AE92" s="107"/>
    </row>
    <row r="93" spans="1:31">
      <c r="A93" s="607"/>
      <c r="B93" s="634" t="s">
        <v>324</v>
      </c>
      <c r="C93" s="609">
        <v>0.4</v>
      </c>
      <c r="D93" s="609"/>
      <c r="E93" s="609"/>
      <c r="F93" s="609" t="s">
        <v>321</v>
      </c>
      <c r="G93" s="608"/>
      <c r="H93" s="609">
        <v>2019</v>
      </c>
      <c r="I93" s="609"/>
      <c r="J93" s="610"/>
      <c r="K93" s="609"/>
      <c r="L93" s="612" t="s">
        <v>322</v>
      </c>
      <c r="M93" s="613" t="s">
        <v>323</v>
      </c>
      <c r="N93" s="611"/>
      <c r="Q93" s="187"/>
      <c r="R93" s="187"/>
      <c r="S93" s="107"/>
      <c r="T93" s="107"/>
      <c r="U93" s="107"/>
      <c r="V93" s="107"/>
      <c r="W93" s="107"/>
      <c r="X93" s="107"/>
      <c r="Y93" s="107"/>
      <c r="Z93" s="107"/>
      <c r="AA93" s="107"/>
      <c r="AB93" s="107"/>
      <c r="AC93" s="107"/>
      <c r="AD93" s="107"/>
      <c r="AE93" s="107"/>
    </row>
    <row r="94" spans="1:31">
      <c r="A94" s="607"/>
      <c r="B94" s="634" t="s">
        <v>88</v>
      </c>
      <c r="C94" s="609">
        <v>0.4</v>
      </c>
      <c r="D94" s="609"/>
      <c r="E94" s="609"/>
      <c r="F94" s="609" t="s">
        <v>321</v>
      </c>
      <c r="G94" s="608"/>
      <c r="H94" s="609">
        <v>2019</v>
      </c>
      <c r="I94" s="609"/>
      <c r="J94" s="610"/>
      <c r="K94" s="609"/>
      <c r="L94" s="612" t="s">
        <v>322</v>
      </c>
      <c r="M94" s="613" t="s">
        <v>323</v>
      </c>
      <c r="N94" s="611"/>
      <c r="Q94" s="187"/>
      <c r="R94" s="18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107"/>
    </row>
    <row r="95" spans="1:31">
      <c r="A95" s="607"/>
      <c r="B95" s="634" t="s">
        <v>89</v>
      </c>
      <c r="C95" s="609">
        <v>0.2</v>
      </c>
      <c r="D95" s="609"/>
      <c r="E95" s="609"/>
      <c r="F95" s="609" t="s">
        <v>321</v>
      </c>
      <c r="G95" s="608"/>
      <c r="H95" s="609">
        <v>2019</v>
      </c>
      <c r="I95" s="609"/>
      <c r="J95" s="610"/>
      <c r="K95" s="609"/>
      <c r="L95" s="612" t="s">
        <v>322</v>
      </c>
      <c r="M95" s="613" t="s">
        <v>323</v>
      </c>
      <c r="N95" s="611"/>
      <c r="Q95" s="187"/>
      <c r="R95" s="187"/>
      <c r="S95" s="107"/>
      <c r="T95" s="107"/>
      <c r="U95" s="107"/>
      <c r="V95" s="107"/>
      <c r="W95" s="107"/>
      <c r="X95" s="107"/>
      <c r="Y95" s="107"/>
      <c r="Z95" s="107"/>
      <c r="AA95" s="107"/>
      <c r="AB95" s="107"/>
      <c r="AC95" s="107"/>
      <c r="AD95" s="107"/>
      <c r="AE95" s="107"/>
    </row>
    <row r="96" spans="1:31">
      <c r="A96" s="607"/>
      <c r="B96" s="634" t="s">
        <v>90</v>
      </c>
      <c r="C96" s="609">
        <v>1</v>
      </c>
      <c r="D96" s="609"/>
      <c r="E96" s="609"/>
      <c r="F96" s="609" t="s">
        <v>321</v>
      </c>
      <c r="G96" s="608"/>
      <c r="H96" s="609">
        <v>2019</v>
      </c>
      <c r="I96" s="609"/>
      <c r="J96" s="610"/>
      <c r="K96" s="609"/>
      <c r="L96" s="612" t="s">
        <v>322</v>
      </c>
      <c r="M96" s="613" t="s">
        <v>323</v>
      </c>
      <c r="N96" s="611"/>
      <c r="Q96" s="187"/>
      <c r="R96" s="187"/>
      <c r="S96" s="107"/>
      <c r="T96" s="107"/>
      <c r="U96" s="107"/>
      <c r="V96" s="107"/>
      <c r="W96" s="107"/>
      <c r="X96" s="107"/>
      <c r="Y96" s="107"/>
      <c r="Z96" s="107"/>
      <c r="AA96" s="107"/>
      <c r="AB96" s="107"/>
      <c r="AC96" s="107"/>
      <c r="AD96" s="107"/>
      <c r="AE96" s="107"/>
    </row>
    <row r="97" spans="1:31">
      <c r="A97" s="607"/>
      <c r="B97" s="608" t="s">
        <v>48</v>
      </c>
      <c r="C97" s="609">
        <v>0.5</v>
      </c>
      <c r="D97" s="609"/>
      <c r="E97" s="609"/>
      <c r="F97" s="609" t="s">
        <v>321</v>
      </c>
      <c r="G97" s="608"/>
      <c r="H97" s="609">
        <v>2019</v>
      </c>
      <c r="I97" s="609"/>
      <c r="J97" s="610"/>
      <c r="K97" s="609"/>
      <c r="L97" s="612" t="s">
        <v>322</v>
      </c>
      <c r="M97" s="613" t="s">
        <v>323</v>
      </c>
      <c r="N97" s="611"/>
      <c r="Q97" s="187"/>
      <c r="R97" s="187"/>
      <c r="S97" s="107"/>
      <c r="T97" s="107"/>
      <c r="U97" s="107"/>
      <c r="V97" s="107"/>
      <c r="W97" s="107"/>
      <c r="X97" s="107"/>
      <c r="Y97" s="107"/>
      <c r="Z97" s="107"/>
      <c r="AA97" s="107"/>
      <c r="AB97" s="107"/>
      <c r="AC97" s="107"/>
      <c r="AD97" s="107"/>
      <c r="AE97" s="107"/>
    </row>
    <row r="98" spans="1:31">
      <c r="A98" s="607"/>
      <c r="B98" s="608" t="s">
        <v>325</v>
      </c>
      <c r="C98" s="609">
        <v>0.2</v>
      </c>
      <c r="D98" s="609"/>
      <c r="E98" s="609"/>
      <c r="F98" s="609" t="s">
        <v>321</v>
      </c>
      <c r="G98" s="608"/>
      <c r="H98" s="609">
        <v>2019</v>
      </c>
      <c r="I98" s="609"/>
      <c r="J98" s="610"/>
      <c r="K98" s="609"/>
      <c r="L98" s="612" t="s">
        <v>322</v>
      </c>
      <c r="M98" s="613" t="s">
        <v>323</v>
      </c>
      <c r="N98" s="611"/>
      <c r="Q98" s="187"/>
      <c r="R98" s="187"/>
      <c r="S98" s="107"/>
      <c r="T98" s="107"/>
      <c r="U98" s="107"/>
      <c r="V98" s="107"/>
      <c r="W98" s="107"/>
      <c r="X98" s="107"/>
      <c r="Y98" s="107"/>
      <c r="Z98" s="107"/>
      <c r="AA98" s="107"/>
      <c r="AB98" s="107"/>
      <c r="AC98" s="107"/>
      <c r="AD98" s="107"/>
      <c r="AE98" s="107"/>
    </row>
    <row r="99" spans="1:31">
      <c r="A99" s="607" t="s">
        <v>234</v>
      </c>
      <c r="B99" s="608" t="s">
        <v>326</v>
      </c>
      <c r="C99" s="609">
        <v>0.79</v>
      </c>
      <c r="D99" s="609"/>
      <c r="E99" s="609"/>
      <c r="F99" s="609" t="s">
        <v>306</v>
      </c>
      <c r="G99" s="608"/>
      <c r="H99" s="609">
        <v>2016</v>
      </c>
      <c r="I99" s="609"/>
      <c r="J99" s="610"/>
      <c r="K99" s="609"/>
      <c r="L99" s="617" t="s">
        <v>251</v>
      </c>
      <c r="M99" s="635"/>
      <c r="N99" s="611"/>
      <c r="Q99" s="187"/>
      <c r="R99" s="187"/>
      <c r="S99" s="107"/>
      <c r="T99" s="107"/>
      <c r="U99" s="107"/>
      <c r="V99" s="107"/>
      <c r="W99" s="107"/>
      <c r="X99" s="107"/>
      <c r="Y99" s="107"/>
      <c r="Z99" s="107"/>
      <c r="AA99" s="107"/>
      <c r="AB99" s="107"/>
      <c r="AC99" s="107"/>
      <c r="AD99" s="107"/>
      <c r="AE99" s="107"/>
    </row>
  </sheetData>
  <sheetProtection algorithmName="SHA-512" hashValue="IQYmRcfW9C814Up1NJ8/H/Odjh7Z3APYbnEg7qssV7Bg5hiFITBqjFUj3G/V+0xveM9dQkEsNy95B0bF4u5m9w==" saltValue="ZXmGyQUYvYrUDEVqrNGH9g==" spinCount="100000" sheet="1" objects="1" scenarios="1"/>
  <phoneticPr fontId="7" type="noConversion"/>
  <hyperlinks>
    <hyperlink ref="M37" r:id="rId1" xr:uid="{7F449B44-138A-49A8-9FC3-B88ABDFDFFD5}"/>
    <hyperlink ref="L40" r:id="rId2" display="http://lipasto.vtt.fi/yksikkopaastot/henkiloliikenne/tieliikenne/linja-autot/bussilinjaautokeskimaarin.htm" xr:uid="{23896A46-DB02-4CE8-8BA6-D5DB97D977F0}"/>
    <hyperlink ref="L41" r:id="rId3" display="http://lipasto.vtt.fi/yksikkopaastot/henkiloliikenne/raideliikenne/intercitysahko.htm" xr:uid="{4F8487DE-83C0-4C3D-84CD-0A96DB9850BD}"/>
    <hyperlink ref="L42" r:id="rId4" display="http://lipasto.vtt.fi/yksikkopaastot/henkiloliikenne/raideliikenne/pendolinosahko.htm" xr:uid="{67200670-633E-4A85-8255-43EB5A4223D4}"/>
    <hyperlink ref="L43" r:id="rId5" display="http://lipasto.vtt.fi/yksikkopaastot/henkiloliikenne/raideliikenne/sm4lahisahko.htm" xr:uid="{6F479C59-58B9-482F-B0CE-F7E7C435E2C5}"/>
    <hyperlink ref="L44" r:id="rId6" display="http://lipasto.vtt.fi/yksikkopaastot/henkiloliikenne/raideliikenne/flirtlahisahko.htm" xr:uid="{71989EBF-513F-4609-9757-AF0DF783F0D1}"/>
    <hyperlink ref="L25" r:id="rId7" display="https://pxhopea2.stat.fi/sahkoiset_julkaisut/energia2020/html/suom0011.htm" xr:uid="{10DBF639-2C4E-489E-9522-8873D6898780}"/>
    <hyperlink ref="L48" r:id="rId8" display="http://lipasto.vtt.fi/yksikkopaastot/henkiloliikenne/tieliikenne/linja-autot/bussilinjaautokeskimaarin.htm" xr:uid="{B0ACA98F-D88D-452A-A342-CB0116D0AFAD}"/>
    <hyperlink ref="L49" r:id="rId9" display="http://lipasto.vtt.fi/yksikkopaastot/henkiloliikenne/tieliikenne/henkiloautot/hayht.htm" xr:uid="{682F27B1-EAEA-462E-B7C2-40D90EBE7196}"/>
    <hyperlink ref="L51" r:id="rId10" display="https://ec.europa.eu/energy/sites/ener/files/documents/Study on Actual GHG Data Oil Gas Final Report.pdf" xr:uid="{96367FA2-83CE-436E-8267-4C24503E4D87}"/>
    <hyperlink ref="L52" r:id="rId11" xr:uid="{8F96FE42-4BBC-44BB-865C-52188AD239AA}"/>
    <hyperlink ref="L53" r:id="rId12" xr:uid="{148EB73C-F194-47EB-93C6-045C8B82EB10}"/>
    <hyperlink ref="L56" r:id="rId13" xr:uid="{6DEAFA68-913C-834D-905F-3B321DE0E867}"/>
    <hyperlink ref="L57" r:id="rId14" xr:uid="{3C4A220C-C1AA-064B-9D80-4F44216337E5}"/>
    <hyperlink ref="L55" r:id="rId15" xr:uid="{F8D5F4B4-8A35-4CEF-A68B-A156A37B86A4}"/>
    <hyperlink ref="L69" r:id="rId16" xr:uid="{C0F66BB7-905F-4451-B8B8-928E2BD65D2A}"/>
    <hyperlink ref="L70" r:id="rId17" display="https://ec.europa.eu/energy/sites/ener/files/documents/Study on Actual GHG Data Oil Gas Final Report.pdf" xr:uid="{7AD55CFE-E4F1-4826-A7FB-F6F0CA4F87CB}"/>
    <hyperlink ref="L71" r:id="rId18" display="https://ec.europa.eu/energy/sites/ener/files/documents/Study on Actual GHG Data Oil Gas Final Report.pdf" xr:uid="{8A0AE1FD-C572-49CC-B994-31F17363AB76}"/>
    <hyperlink ref="L74" r:id="rId19" display="http://lipasto.vtt.fi/yksikkopaastot/henkiloliikenne/tieliikenne/henkiloautot/hadies.htm" xr:uid="{E482E1DB-48E3-43EF-B38F-6A84EDB59C44}"/>
    <hyperlink ref="L75" r:id="rId20" display="https://ec.europa.eu/energy/sites/ener/files/documents/Study on Actual GHG Data Oil Gas Final Report.pdf" xr:uid="{7C3ECCA7-770A-4950-BE86-EF689540F790}"/>
    <hyperlink ref="L76" r:id="rId21" display="http://lipasto.vtt.fi/yksikkopaastot/tunnusluvut/tunnusluvuttie.htm" xr:uid="{A87E2939-753B-44D9-BB26-6369190234C3}"/>
    <hyperlink ref="L78" r:id="rId22" display="http://lipasto.vtt.fi/yksikkopaastot/tunnusluvut/tunnusluvuttie.htm" xr:uid="{CF79015E-E84D-4893-9A8B-8AE4FF90E0F2}"/>
    <hyperlink ref="L79" r:id="rId23" display="http://lipasto.vtt.fi/yksikkopaastot/henkiloliikenne/tieliikenne/henkiloautot/hakaasu.htm" xr:uid="{E68DD922-6A8C-47A9-8752-2D31576CDC74}"/>
    <hyperlink ref="L80" r:id="rId24" display="http://lipasto.vtt.fi/yksikkopaastot/henkiloliikenne/tieliikenne/henkiloautot/hakaasu.htm" xr:uid="{85E50F79-190D-4FE6-975C-7AC01706ED28}"/>
    <hyperlink ref="L81" r:id="rId25" display="http://lipasto.vtt.fi/yksikkopaastot/henkiloliikenne/tieliikenne/henkiloautot/hasahko.htm" xr:uid="{9F53BA4A-B418-4E2B-9CB9-0AC58D3A055A}"/>
    <hyperlink ref="L82" r:id="rId26" display="http://lipasto.vtt.fi/yksikkopaastot/henkiloliikenne/tieliikenne/henkiloautot/hakaasu.htm" xr:uid="{B59346F2-F734-4444-9FA5-470B9BF838D9}"/>
    <hyperlink ref="L83" r:id="rId27" display="http://lipasto.vtt.fi/yksikkopaastot/henkiloliikenne/tieliikenne/henkiloautot/hakaasu.htm" xr:uid="{BF656B1F-704A-4F90-9AD9-0DA29A1B2C65}"/>
    <hyperlink ref="L84" r:id="rId28" display="http://lipasto.vtt.fi/yksikkopaastot/henkiloliikenne/tieliikenne/henkiloautot/hakaasu.htm" xr:uid="{F2625849-B1F4-472B-9063-3542906F6235}"/>
    <hyperlink ref="L85" r:id="rId29" display="http://lipasto.vtt.fi/yksikkopaastot/henkiloliikenne/tieliikenne/henkiloautot/hakaasu.htm" xr:uid="{E8CF7AB9-AEC8-4DA5-8B60-73C47144D9C4}"/>
    <hyperlink ref="L86" r:id="rId30" display="http://lipasto.vtt.fi/yksikkopaastot/henkiloliikenne/tieliikenne/henkiloautot/hakaasu.htm" xr:uid="{F498A91B-825A-4478-B042-E2EF3A0427EE}"/>
    <hyperlink ref="O87" r:id="rId31" display="https://www.ilmastopaneeli.fi/autokalkulaattori/" xr:uid="{022B3173-A7DC-4203-AA28-39FC3DB61DC1}"/>
    <hyperlink ref="L88" r:id="rId32" xr:uid="{A0693F1E-726E-834F-9F68-343F0EE16923}"/>
    <hyperlink ref="M89" r:id="rId33" xr:uid="{6CA00BFB-34FE-4F40-85CC-402652AB537D}"/>
    <hyperlink ref="M23" r:id="rId34" xr:uid="{6D9FDC26-8EE1-4D5F-AE05-BBA528D46D7E}"/>
    <hyperlink ref="M24" r:id="rId35" xr:uid="{A95B39AF-D921-489B-A79E-E5901463BA66}"/>
    <hyperlink ref="L99" r:id="rId36" display="http://lipasto.vtt.fi/yksikkopaastot/henkiloliikenne/tieliikenne/linja-autot/bussilinjaautokeskimaarin.htm" xr:uid="{68A8734E-EAC0-5547-A191-9230003C6948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B7339A-05A7-4C5A-A199-4CEE4E45BF16}">
  <dimension ref="B1:H57"/>
  <sheetViews>
    <sheetView workbookViewId="0">
      <selection activeCell="D57" sqref="D57"/>
    </sheetView>
  </sheetViews>
  <sheetFormatPr defaultColWidth="8.7109375" defaultRowHeight="14.45"/>
  <cols>
    <col min="2" max="2" width="34.7109375" bestFit="1" customWidth="1"/>
    <col min="3" max="3" width="33.7109375" customWidth="1"/>
    <col min="4" max="4" width="35.42578125" bestFit="1" customWidth="1"/>
    <col min="5" max="5" width="28.7109375" customWidth="1"/>
    <col min="6" max="6" width="22.28515625" bestFit="1" customWidth="1"/>
  </cols>
  <sheetData>
    <row r="1" spans="2:6">
      <c r="B1" s="383" t="s">
        <v>132</v>
      </c>
      <c r="C1" s="384" t="s">
        <v>133</v>
      </c>
      <c r="D1" s="384" t="s">
        <v>134</v>
      </c>
      <c r="E1" s="384" t="s">
        <v>135</v>
      </c>
      <c r="F1" s="385" t="s">
        <v>136</v>
      </c>
    </row>
    <row r="2" spans="2:6">
      <c r="B2" s="159" t="str">
        <f>'Päästökertoimet ja muut'!B2</f>
        <v>Average emissions from electricity production, FI (hyödynjakomenetelmä),  2020</v>
      </c>
      <c r="C2" s="166">
        <f>'Päästökertoimet ja muut'!C2</f>
        <v>89.2</v>
      </c>
      <c r="D2" s="166">
        <f>'Päästökertoimet ja muut'!D2</f>
        <v>0</v>
      </c>
      <c r="E2" s="166">
        <f>'Päästökertoimet ja muut'!E2</f>
        <v>0</v>
      </c>
      <c r="F2" s="169" t="str">
        <f>'Päästökertoimet ja muut'!F2</f>
        <v>gCO2e/kWh</v>
      </c>
    </row>
    <row r="3" spans="2:6">
      <c r="B3" s="159" t="str">
        <f>'Päästökertoimet ja muut'!B5</f>
        <v>Uusiutuva sähkö</v>
      </c>
      <c r="C3" s="166">
        <f>'Päästökertoimet ja muut'!C5</f>
        <v>0</v>
      </c>
      <c r="D3" s="166">
        <f>'Päästökertoimet ja muut'!D5</f>
        <v>0</v>
      </c>
      <c r="E3" s="166">
        <f>'Päästökertoimet ja muut'!E5</f>
        <v>0</v>
      </c>
      <c r="F3" s="169" t="str">
        <f>'Päästökertoimet ja muut'!F5</f>
        <v>gCO2e/kWh</v>
      </c>
    </row>
    <row r="4" spans="2:6">
      <c r="B4" s="159" t="str">
        <f>'Päästökertoimet ja muut'!B6</f>
        <v>Keskimääräinen kaukolämpö</v>
      </c>
      <c r="C4" s="166">
        <f>'Päästökertoimet ja muut'!C6</f>
        <v>127</v>
      </c>
      <c r="D4" s="166">
        <f>'Päästökertoimet ja muut'!D6</f>
        <v>0</v>
      </c>
      <c r="E4" s="166">
        <f>'Päästökertoimet ja muut'!E6</f>
        <v>0</v>
      </c>
      <c r="F4" s="169" t="str">
        <f>'Päästökertoimet ja muut'!F6</f>
        <v>gCO2e/kWh</v>
      </c>
    </row>
    <row r="5" spans="2:6">
      <c r="B5" s="159" t="str">
        <f>'Päästökertoimet ja muut'!B7</f>
        <v>Kevyt polttoöljy, päästökerroin</v>
      </c>
      <c r="C5" s="166">
        <f>'Päästökertoimet ja muut'!C7</f>
        <v>70.900000000000006</v>
      </c>
      <c r="D5" s="166">
        <f>'Päästökertoimet ja muut'!D7</f>
        <v>0</v>
      </c>
      <c r="E5" s="166">
        <f>'Päästökertoimet ja muut'!E7</f>
        <v>0</v>
      </c>
      <c r="F5" s="169" t="str">
        <f>'Päästökertoimet ja muut'!F7</f>
        <v>tCO2e/TJ</v>
      </c>
    </row>
    <row r="6" spans="2:6">
      <c r="B6" s="159" t="str">
        <f>'Päästökertoimet ja muut'!B8</f>
        <v>Kevyt polttoöljy, päästökerroin</v>
      </c>
      <c r="C6" s="166">
        <f>'Päästökertoimet ja muut'!C8</f>
        <v>255.23999979580802</v>
      </c>
      <c r="D6" s="166">
        <f>'Päästökertoimet ja muut'!D8</f>
        <v>0</v>
      </c>
      <c r="E6" s="166">
        <f>'Päästökertoimet ja muut'!E8</f>
        <v>0</v>
      </c>
      <c r="F6" s="169" t="str">
        <f>'Päästökertoimet ja muut'!F8</f>
        <v>gCO2e/kWh</v>
      </c>
    </row>
    <row r="7" spans="2:6">
      <c r="B7" s="159" t="str">
        <f>'Päästökertoimet ja muut'!B9</f>
        <v>Hake</v>
      </c>
      <c r="C7" s="166">
        <f>'Päästökertoimet ja muut'!C9</f>
        <v>0</v>
      </c>
      <c r="D7" s="166">
        <f>'Päästökertoimet ja muut'!D9</f>
        <v>0</v>
      </c>
      <c r="E7" s="166">
        <f>'Päästökertoimet ja muut'!E9</f>
        <v>0</v>
      </c>
      <c r="F7" s="169" t="str">
        <f>'Päästökertoimet ja muut'!F9</f>
        <v>gCO2e/kWh</v>
      </c>
    </row>
    <row r="8" spans="2:6">
      <c r="B8" s="159" t="str">
        <f>'Päästökertoimet ja muut'!B10</f>
        <v>Pelletti</v>
      </c>
      <c r="C8" s="166">
        <f>'Päästökertoimet ja muut'!C10</f>
        <v>0</v>
      </c>
      <c r="D8" s="166">
        <f>'Päästökertoimet ja muut'!D10</f>
        <v>0</v>
      </c>
      <c r="E8" s="166">
        <f>'Päästökertoimet ja muut'!E10</f>
        <v>0</v>
      </c>
      <c r="F8" s="169" t="str">
        <f>'Päästökertoimet ja muut'!F10</f>
        <v>gCO2e/kWh</v>
      </c>
    </row>
    <row r="9" spans="2:6">
      <c r="B9" s="159" t="str">
        <f>'Päästökertoimet ja muut'!B11</f>
        <v>Maakaasu, päästökerroin</v>
      </c>
      <c r="C9" s="166">
        <f>'Päästökertoimet ja muut'!C11</f>
        <v>55.4</v>
      </c>
      <c r="D9" s="166">
        <f>'Päästökertoimet ja muut'!D11</f>
        <v>0</v>
      </c>
      <c r="E9" s="166">
        <f>'Päästökertoimet ja muut'!E11</f>
        <v>0</v>
      </c>
      <c r="F9" s="169" t="str">
        <f>'Päästökertoimet ja muut'!F11</f>
        <v>tCO2e/TJ</v>
      </c>
    </row>
    <row r="10" spans="2:6">
      <c r="B10" s="159" t="str">
        <f>'Päästökertoimet ja muut'!B12</f>
        <v>Maakaasu, päästökerroin</v>
      </c>
      <c r="C10" s="166">
        <f>'Päästökertoimet ja muut'!C12</f>
        <v>199.439999840448</v>
      </c>
      <c r="D10" s="166">
        <f>'Päästökertoimet ja muut'!D12</f>
        <v>0</v>
      </c>
      <c r="E10" s="166">
        <f>'Päästökertoimet ja muut'!E12</f>
        <v>0</v>
      </c>
      <c r="F10" s="169" t="str">
        <f>'Päästökertoimet ja muut'!F12</f>
        <v>gCO2e/kWh</v>
      </c>
    </row>
    <row r="11" spans="2:6">
      <c r="B11" s="159" t="str">
        <f>'Päästökertoimet ja muut'!B13</f>
        <v>Kevyt polttoöljy, lämpöarvo</v>
      </c>
      <c r="C11" s="166">
        <f>'Päästökertoimet ja muut'!C13</f>
        <v>43.2</v>
      </c>
      <c r="D11" s="166">
        <f>'Päästökertoimet ja muut'!D13</f>
        <v>0</v>
      </c>
      <c r="E11" s="166">
        <f>'Päästökertoimet ja muut'!E13</f>
        <v>0</v>
      </c>
      <c r="F11" s="169" t="str">
        <f>'Päästökertoimet ja muut'!F13</f>
        <v>GJ/t</v>
      </c>
    </row>
    <row r="12" spans="2:6">
      <c r="B12" s="159" t="str">
        <f>'Päästökertoimet ja muut'!B14</f>
        <v>Hake, lämpöarvo</v>
      </c>
      <c r="C12" s="166">
        <f>'Päästökertoimet ja muut'!C14</f>
        <v>9.5</v>
      </c>
      <c r="D12" s="166">
        <f>'Päästökertoimet ja muut'!D14</f>
        <v>0</v>
      </c>
      <c r="E12" s="166">
        <f>'Päästökertoimet ja muut'!E14</f>
        <v>0</v>
      </c>
      <c r="F12" s="169" t="str">
        <f>'Päästökertoimet ja muut'!F14</f>
        <v>GJ/t</v>
      </c>
    </row>
    <row r="13" spans="2:6">
      <c r="B13" s="159" t="str">
        <f>'Päästökertoimet ja muut'!B15</f>
        <v>Pelletti, lämpöarvo</v>
      </c>
      <c r="C13" s="166">
        <f>'Päästökertoimet ja muut'!C15</f>
        <v>17</v>
      </c>
      <c r="D13" s="166">
        <f>'Päästökertoimet ja muut'!D15</f>
        <v>0</v>
      </c>
      <c r="E13" s="166">
        <f>'Päästökertoimet ja muut'!E15</f>
        <v>0</v>
      </c>
      <c r="F13" s="169" t="str">
        <f>'Päästökertoimet ja muut'!F15</f>
        <v>GJ/t</v>
      </c>
    </row>
    <row r="14" spans="2:6">
      <c r="B14" s="159" t="str">
        <f>'Päästökertoimet ja muut'!B16</f>
        <v>Maakaasu, lämpöarvo</v>
      </c>
      <c r="C14" s="166">
        <f>'Päästökertoimet ja muut'!C16</f>
        <v>36.58</v>
      </c>
      <c r="D14" s="166">
        <f>'Päästökertoimet ja muut'!D16</f>
        <v>0</v>
      </c>
      <c r="E14" s="166">
        <f>'Päästökertoimet ja muut'!E16</f>
        <v>0</v>
      </c>
      <c r="F14" s="169" t="str">
        <f>'Päästökertoimet ja muut'!F16</f>
        <v>GJ/m3</v>
      </c>
    </row>
    <row r="15" spans="2:6">
      <c r="B15" s="159" t="str">
        <f>'Päästökertoimet ja muut'!B17</f>
        <v>Maakasukattilan hyötysuhde</v>
      </c>
      <c r="C15" s="166">
        <f>'Päästökertoimet ja muut'!C17</f>
        <v>0.9</v>
      </c>
      <c r="D15" s="166">
        <f>'Päästökertoimet ja muut'!D17</f>
        <v>0</v>
      </c>
      <c r="E15" s="166">
        <f>'Päästökertoimet ja muut'!E17</f>
        <v>0</v>
      </c>
      <c r="F15" s="169">
        <f>'Päästökertoimet ja muut'!F17</f>
        <v>0</v>
      </c>
    </row>
    <row r="16" spans="2:6">
      <c r="B16" s="159" t="str">
        <f>'Päästökertoimet ja muut'!B18</f>
        <v>Öljykattilan hyötysuhde</v>
      </c>
      <c r="C16" s="166">
        <f>'Päästökertoimet ja muut'!C18</f>
        <v>0.95</v>
      </c>
      <c r="D16" s="166">
        <f>'Päästökertoimet ja muut'!D18</f>
        <v>0</v>
      </c>
      <c r="E16" s="166">
        <f>'Päästökertoimet ja muut'!E18</f>
        <v>0</v>
      </c>
      <c r="F16" s="169">
        <f>'Päästökertoimet ja muut'!F18</f>
        <v>0</v>
      </c>
    </row>
    <row r="17" spans="2:8">
      <c r="B17" s="317" t="str">
        <f>'Päästökertoimet ja muut'!B19</f>
        <v>Hakekattilan hyötysuhde</v>
      </c>
      <c r="C17" s="166">
        <f>'Päästökertoimet ja muut'!C19</f>
        <v>0.8</v>
      </c>
      <c r="D17" s="166">
        <f>'Päästökertoimet ja muut'!D19</f>
        <v>0</v>
      </c>
      <c r="E17" s="166">
        <f>'Päästökertoimet ja muut'!E19</f>
        <v>0</v>
      </c>
      <c r="F17" s="166">
        <f>'Päästökertoimet ja muut'!F19</f>
        <v>0</v>
      </c>
    </row>
    <row r="18" spans="2:8">
      <c r="B18" s="317" t="str">
        <f>'Päästökertoimet ja muut'!B20</f>
        <v>Pelettikattilan hyötysuhde</v>
      </c>
      <c r="C18" s="166">
        <f>'Päästökertoimet ja muut'!C20</f>
        <v>0.9</v>
      </c>
      <c r="D18" s="166">
        <f>'Päästökertoimet ja muut'!D20</f>
        <v>0</v>
      </c>
      <c r="E18" s="166">
        <f>'Päästökertoimet ja muut'!E20</f>
        <v>0</v>
      </c>
      <c r="F18" s="166">
        <f>'Päästökertoimet ja muut'!F20</f>
        <v>0</v>
      </c>
    </row>
    <row r="19" spans="2:8">
      <c r="B19" s="159" t="str">
        <f>'Päästökertoimet ja muut'!B21</f>
        <v>Maalämpöjärjestelmän COP</v>
      </c>
      <c r="C19" s="166">
        <f>'Päästökertoimet ja muut'!C21</f>
        <v>4</v>
      </c>
      <c r="D19" s="166">
        <f>'Päästökertoimet ja muut'!D21</f>
        <v>0</v>
      </c>
      <c r="E19" s="166">
        <f>'Päästökertoimet ja muut'!E21</f>
        <v>0</v>
      </c>
      <c r="F19" s="169">
        <f>'Päästökertoimet ja muut'!F21</f>
        <v>0</v>
      </c>
    </row>
    <row r="20" spans="2:8" ht="15" thickBot="1">
      <c r="B20" s="161" t="str">
        <f>'Päästökertoimet ja muut'!B22</f>
        <v>Ilmalämpöpumpun COP</v>
      </c>
      <c r="C20" s="168">
        <f>'Päästökertoimet ja muut'!C22</f>
        <v>3</v>
      </c>
      <c r="D20" s="168">
        <f>'Päästökertoimet ja muut'!D22</f>
        <v>0</v>
      </c>
      <c r="E20" s="168">
        <f>'Päästökertoimet ja muut'!E22</f>
        <v>0</v>
      </c>
      <c r="F20" s="170">
        <f>'Päästökertoimet ja muut'!F22</f>
        <v>0</v>
      </c>
    </row>
    <row r="22" spans="2:8" ht="14.1" customHeight="1" thickBot="1"/>
    <row r="23" spans="2:8" ht="14.1" customHeight="1">
      <c r="B23" s="383" t="s">
        <v>327</v>
      </c>
      <c r="C23" s="384" t="s">
        <v>328</v>
      </c>
      <c r="D23" s="384" t="s">
        <v>329</v>
      </c>
      <c r="E23" s="384" t="s">
        <v>330</v>
      </c>
      <c r="F23" s="386"/>
      <c r="G23" s="386"/>
      <c r="H23" s="387"/>
    </row>
    <row r="24" spans="2:8">
      <c r="B24" s="159" t="s">
        <v>331</v>
      </c>
      <c r="C24" s="33">
        <v>19.8</v>
      </c>
      <c r="D24" s="33">
        <v>34.200000000000003</v>
      </c>
      <c r="E24" s="34" t="s">
        <v>332</v>
      </c>
      <c r="H24" s="175"/>
    </row>
    <row r="25" spans="2:8">
      <c r="B25" s="159" t="s">
        <v>333</v>
      </c>
      <c r="C25" s="33">
        <v>11.4</v>
      </c>
      <c r="D25" s="33">
        <v>47.8</v>
      </c>
      <c r="E25" s="34" t="s">
        <v>332</v>
      </c>
      <c r="H25" s="175"/>
    </row>
    <row r="26" spans="2:8">
      <c r="B26" s="159" t="s">
        <v>334</v>
      </c>
      <c r="C26" s="33">
        <v>19.3</v>
      </c>
      <c r="D26" s="33">
        <v>26</v>
      </c>
      <c r="E26" s="34" t="s">
        <v>332</v>
      </c>
      <c r="H26" s="175"/>
    </row>
    <row r="27" spans="2:8">
      <c r="B27" s="159" t="s">
        <v>335</v>
      </c>
      <c r="C27" s="33">
        <v>33.9</v>
      </c>
      <c r="D27" s="33">
        <v>70.8</v>
      </c>
      <c r="E27" s="34" t="s">
        <v>332</v>
      </c>
      <c r="H27" s="175"/>
    </row>
    <row r="28" spans="2:8">
      <c r="B28" s="159" t="s">
        <v>336</v>
      </c>
      <c r="C28" s="33">
        <v>14.5</v>
      </c>
      <c r="D28" s="33">
        <v>43.4</v>
      </c>
      <c r="E28" s="34" t="s">
        <v>332</v>
      </c>
      <c r="H28" s="175"/>
    </row>
    <row r="29" spans="2:8" ht="15" thickBot="1">
      <c r="B29" s="161" t="s">
        <v>337</v>
      </c>
      <c r="C29" s="162">
        <v>30.8</v>
      </c>
      <c r="D29" s="162">
        <v>52.3</v>
      </c>
      <c r="E29" s="189" t="s">
        <v>332</v>
      </c>
      <c r="F29" s="177"/>
      <c r="G29" s="177"/>
      <c r="H29" s="178"/>
    </row>
    <row r="31" spans="2:8" ht="15" thickBot="1">
      <c r="B31" s="2" t="s">
        <v>338</v>
      </c>
    </row>
    <row r="32" spans="2:8">
      <c r="B32" s="383" t="s">
        <v>327</v>
      </c>
      <c r="C32" s="384" t="s">
        <v>339</v>
      </c>
      <c r="D32" s="384" t="s">
        <v>340</v>
      </c>
      <c r="E32" s="385" t="s">
        <v>341</v>
      </c>
    </row>
    <row r="33" spans="2:5">
      <c r="B33" s="159" t="s">
        <v>331</v>
      </c>
      <c r="C33" s="166">
        <f>C24*E33</f>
        <v>49.5</v>
      </c>
      <c r="D33" s="166">
        <f t="shared" ref="D33:D38" si="0">D24*E33</f>
        <v>85.5</v>
      </c>
      <c r="E33" s="169">
        <v>2.5</v>
      </c>
    </row>
    <row r="34" spans="2:5">
      <c r="B34" s="159" t="s">
        <v>333</v>
      </c>
      <c r="C34" s="166">
        <f t="shared" ref="C34:C38" si="1">C25*E34</f>
        <v>34.200000000000003</v>
      </c>
      <c r="D34" s="166">
        <f t="shared" si="0"/>
        <v>143.39999999999998</v>
      </c>
      <c r="E34" s="169">
        <v>3</v>
      </c>
    </row>
    <row r="35" spans="2:5">
      <c r="B35" s="159" t="s">
        <v>334</v>
      </c>
      <c r="C35" s="166">
        <f t="shared" si="1"/>
        <v>57.900000000000006</v>
      </c>
      <c r="D35" s="166">
        <f t="shared" si="0"/>
        <v>78</v>
      </c>
      <c r="E35" s="169">
        <v>3</v>
      </c>
    </row>
    <row r="36" spans="2:5">
      <c r="B36" s="159" t="s">
        <v>335</v>
      </c>
      <c r="C36" s="166">
        <f t="shared" si="1"/>
        <v>84.75</v>
      </c>
      <c r="D36" s="166">
        <f t="shared" si="0"/>
        <v>177</v>
      </c>
      <c r="E36" s="169">
        <v>2.5</v>
      </c>
    </row>
    <row r="37" spans="2:5">
      <c r="B37" s="159" t="s">
        <v>336</v>
      </c>
      <c r="C37" s="166">
        <f t="shared" si="1"/>
        <v>43.5</v>
      </c>
      <c r="D37" s="166">
        <f t="shared" si="0"/>
        <v>130.19999999999999</v>
      </c>
      <c r="E37" s="169">
        <v>3</v>
      </c>
    </row>
    <row r="38" spans="2:5">
      <c r="B38" s="190" t="s">
        <v>337</v>
      </c>
      <c r="C38" s="191">
        <f t="shared" si="1"/>
        <v>92.4</v>
      </c>
      <c r="D38" s="191">
        <f t="shared" si="0"/>
        <v>156.89999999999998</v>
      </c>
      <c r="E38" s="192">
        <v>3</v>
      </c>
    </row>
    <row r="39" spans="2:5" ht="15" thickBot="1">
      <c r="B39" s="324" t="s">
        <v>43</v>
      </c>
      <c r="C39" s="326">
        <v>0</v>
      </c>
      <c r="D39" s="326">
        <v>0</v>
      </c>
      <c r="E39" s="327"/>
    </row>
    <row r="40" spans="2:5" ht="15" thickBot="1"/>
    <row r="41" spans="2:5">
      <c r="B41" s="383" t="s">
        <v>71</v>
      </c>
      <c r="C41" s="385" t="s">
        <v>342</v>
      </c>
    </row>
    <row r="42" spans="2:5">
      <c r="B42" s="159" t="s">
        <v>343</v>
      </c>
      <c r="C42" s="160">
        <f>C3</f>
        <v>0</v>
      </c>
    </row>
    <row r="43" spans="2:5">
      <c r="B43" s="159" t="s">
        <v>344</v>
      </c>
      <c r="C43" s="160">
        <f>C3</f>
        <v>0</v>
      </c>
    </row>
    <row r="44" spans="2:5">
      <c r="B44" s="159" t="s">
        <v>345</v>
      </c>
      <c r="C44" s="160">
        <f>C2</f>
        <v>89.2</v>
      </c>
    </row>
    <row r="45" spans="2:5" ht="15" thickBot="1">
      <c r="B45" s="324" t="s">
        <v>43</v>
      </c>
      <c r="C45" s="328">
        <v>0</v>
      </c>
    </row>
    <row r="46" spans="2:5" ht="15" thickBot="1"/>
    <row r="47" spans="2:5">
      <c r="B47" s="383" t="s">
        <v>72</v>
      </c>
      <c r="C47" s="385" t="s">
        <v>346</v>
      </c>
    </row>
    <row r="48" spans="2:5">
      <c r="B48" s="159" t="s">
        <v>347</v>
      </c>
      <c r="C48" s="193">
        <f>C4</f>
        <v>127</v>
      </c>
    </row>
    <row r="49" spans="2:3">
      <c r="B49" s="159" t="s">
        <v>348</v>
      </c>
      <c r="C49" s="193">
        <f>C3</f>
        <v>0</v>
      </c>
    </row>
    <row r="50" spans="2:3">
      <c r="B50" s="159" t="s">
        <v>349</v>
      </c>
      <c r="C50" s="193">
        <f>C2</f>
        <v>89.2</v>
      </c>
    </row>
    <row r="51" spans="2:3">
      <c r="B51" s="159" t="s">
        <v>350</v>
      </c>
      <c r="C51" s="193">
        <f>C6*(1+(1-C16))</f>
        <v>268.00199978559846</v>
      </c>
    </row>
    <row r="52" spans="2:3">
      <c r="B52" s="159" t="s">
        <v>351</v>
      </c>
      <c r="C52" s="193">
        <f>C7*(1+(1-C17))</f>
        <v>0</v>
      </c>
    </row>
    <row r="53" spans="2:3">
      <c r="B53" s="159" t="s">
        <v>352</v>
      </c>
      <c r="C53" s="193">
        <f>C8*(1+(1-C18))</f>
        <v>0</v>
      </c>
    </row>
    <row r="54" spans="2:3">
      <c r="B54" s="159" t="s">
        <v>353</v>
      </c>
      <c r="C54" s="193">
        <f>C10*(1+(1-C15))</f>
        <v>219.3839998244928</v>
      </c>
    </row>
    <row r="55" spans="2:3">
      <c r="B55" s="159" t="s">
        <v>354</v>
      </c>
      <c r="C55" s="193">
        <f>1/C20*C44</f>
        <v>29.733333333333334</v>
      </c>
    </row>
    <row r="56" spans="2:3">
      <c r="B56" s="159" t="s">
        <v>355</v>
      </c>
      <c r="C56" s="333">
        <v>22</v>
      </c>
    </row>
    <row r="57" spans="2:3" ht="15" thickBot="1">
      <c r="B57" s="324" t="s">
        <v>43</v>
      </c>
      <c r="C57" s="325">
        <v>0</v>
      </c>
    </row>
  </sheetData>
  <sheetProtection algorithmName="SHA-512" hashValue="Q0zXYYnjiv1vJ291lcObsu8NOfG3cuCt8vnK8KLqXIVFjQFnu/Ixflznyy3krlRQzX4i81gmYfKjy9bKd/tcPQ==" saltValue="GphgFDobVSda4qs8+SDdtQ==" spinCount="100000" sheet="1" objects="1" scenarios="1"/>
  <hyperlinks>
    <hyperlink ref="E24" r:id="rId1" xr:uid="{C1282C67-E1A5-445E-B228-7B2849F89195}"/>
    <hyperlink ref="E25" r:id="rId2" xr:uid="{9CF9D3CF-6863-4B65-A529-9123F9D549E1}"/>
    <hyperlink ref="E26" r:id="rId3" xr:uid="{7A88729C-EBA3-4B71-900D-2B105A7EFA5B}"/>
    <hyperlink ref="E27" r:id="rId4" xr:uid="{0BC9D686-CFFA-4FA9-80D5-4C6BCA97CB83}"/>
    <hyperlink ref="E28" r:id="rId5" xr:uid="{B11CBCB4-5A85-4465-A701-9216E4D5CC4F}"/>
    <hyperlink ref="E29" r:id="rId6" xr:uid="{45FC0ECF-EF46-C64B-9FEE-24FE43715A69}"/>
  </hyperlinks>
  <pageMargins left="0.7" right="0.7" top="0.75" bottom="0.75" header="0.3" footer="0.3"/>
  <pageSetup orientation="portrait" r:id="rId7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85B817-755E-48B3-9D8B-B466D23566AC}">
  <dimension ref="B1:AB37"/>
  <sheetViews>
    <sheetView workbookViewId="0">
      <selection activeCell="B2" sqref="B2"/>
    </sheetView>
  </sheetViews>
  <sheetFormatPr defaultColWidth="8.7109375" defaultRowHeight="14.45"/>
  <cols>
    <col min="2" max="2" width="47.42578125" customWidth="1"/>
    <col min="3" max="3" width="31.28515625" customWidth="1"/>
    <col min="4" max="4" width="29.28515625" customWidth="1"/>
    <col min="5" max="5" width="18.42578125" customWidth="1"/>
    <col min="6" max="6" width="15.28515625" customWidth="1"/>
    <col min="7" max="7" width="19.28515625" customWidth="1"/>
    <col min="9" max="29" width="15.7109375" customWidth="1"/>
  </cols>
  <sheetData>
    <row r="1" spans="2:7" ht="15" thickBot="1"/>
    <row r="2" spans="2:7" ht="21.6" thickBot="1">
      <c r="B2" s="315" t="s">
        <v>356</v>
      </c>
      <c r="C2" s="388">
        <f>N32</f>
        <v>937.90191474384221</v>
      </c>
      <c r="D2" s="316" t="s">
        <v>357</v>
      </c>
    </row>
    <row r="3" spans="2:7" ht="15" thickBot="1"/>
    <row r="4" spans="2:7" ht="29.45" thickBot="1">
      <c r="B4" s="389" t="s">
        <v>358</v>
      </c>
      <c r="C4" s="390" t="s">
        <v>359</v>
      </c>
      <c r="D4" t="s">
        <v>330</v>
      </c>
      <c r="E4" s="31"/>
      <c r="G4" s="31"/>
    </row>
    <row r="5" spans="2:7">
      <c r="B5" s="174" t="s">
        <v>360</v>
      </c>
      <c r="C5" s="175">
        <v>1.4</v>
      </c>
      <c r="D5" s="1" t="s">
        <v>361</v>
      </c>
      <c r="F5" s="1"/>
    </row>
    <row r="6" spans="2:7">
      <c r="B6" s="174" t="s">
        <v>362</v>
      </c>
      <c r="C6" s="175">
        <v>4.4000000000000004</v>
      </c>
    </row>
    <row r="7" spans="2:7">
      <c r="B7" s="174" t="s">
        <v>363</v>
      </c>
      <c r="C7" s="175">
        <v>13</v>
      </c>
    </row>
    <row r="8" spans="2:7">
      <c r="B8" s="174" t="s">
        <v>364</v>
      </c>
      <c r="C8" s="175">
        <v>25</v>
      </c>
    </row>
    <row r="9" spans="2:7">
      <c r="B9" s="174" t="s">
        <v>365</v>
      </c>
      <c r="C9" s="175">
        <v>19</v>
      </c>
    </row>
    <row r="10" spans="2:7">
      <c r="B10" s="174" t="s">
        <v>366</v>
      </c>
      <c r="C10" s="175">
        <v>14</v>
      </c>
    </row>
    <row r="11" spans="2:7" ht="15" thickBot="1">
      <c r="B11" s="215" t="s">
        <v>367</v>
      </c>
      <c r="C11" s="216">
        <v>45</v>
      </c>
    </row>
    <row r="12" spans="2:7" ht="15.6" thickTop="1" thickBot="1">
      <c r="B12" s="176" t="s">
        <v>368</v>
      </c>
      <c r="C12" s="178">
        <f>AVERAGE(C5:C11)</f>
        <v>17.399999999999999</v>
      </c>
    </row>
    <row r="13" spans="2:7" ht="15" thickBot="1"/>
    <row r="14" spans="2:7" ht="15" thickBot="1">
      <c r="B14" s="391" t="s">
        <v>369</v>
      </c>
      <c r="C14" s="392" t="s">
        <v>370</v>
      </c>
      <c r="D14" t="s">
        <v>330</v>
      </c>
    </row>
    <row r="15" spans="2:7" ht="15" thickBot="1">
      <c r="B15" s="313"/>
      <c r="C15" s="314"/>
      <c r="D15" s="1" t="s">
        <v>371</v>
      </c>
    </row>
    <row r="16" spans="2:7">
      <c r="B16" s="30" t="s">
        <v>372</v>
      </c>
      <c r="C16" s="29">
        <v>9.3596059113300489E-2</v>
      </c>
      <c r="D16" s="26"/>
    </row>
    <row r="17" spans="2:22">
      <c r="B17" s="30" t="s">
        <v>373</v>
      </c>
      <c r="C17" s="29">
        <v>0.10098522167487685</v>
      </c>
      <c r="D17" s="26"/>
    </row>
    <row r="18" spans="2:22">
      <c r="B18" s="30" t="s">
        <v>374</v>
      </c>
      <c r="C18" s="29">
        <v>0.12315270935960591</v>
      </c>
      <c r="D18" s="26"/>
    </row>
    <row r="19" spans="2:22">
      <c r="B19" s="30" t="s">
        <v>375</v>
      </c>
      <c r="C19" s="29">
        <v>0.6354679802955665</v>
      </c>
      <c r="D19" s="26"/>
    </row>
    <row r="20" spans="2:22">
      <c r="B20" s="30" t="s">
        <v>376</v>
      </c>
      <c r="C20" s="29">
        <v>3.694581280788177E-2</v>
      </c>
      <c r="D20" s="26"/>
    </row>
    <row r="21" spans="2:22" ht="15" thickBot="1">
      <c r="B21" s="28" t="s">
        <v>377</v>
      </c>
      <c r="C21" s="27">
        <v>9.852216748768473E-3</v>
      </c>
      <c r="D21" s="26"/>
    </row>
    <row r="23" spans="2:22" ht="15" thickBot="1"/>
    <row r="24" spans="2:22" ht="16.149999999999999" thickBot="1">
      <c r="B24" s="849" t="s">
        <v>378</v>
      </c>
      <c r="C24" s="850"/>
      <c r="D24" s="851"/>
      <c r="E24" s="6"/>
      <c r="F24" s="852" t="s">
        <v>379</v>
      </c>
      <c r="G24" s="853"/>
      <c r="H24" s="853"/>
      <c r="I24" s="853"/>
      <c r="J24" s="853"/>
      <c r="K24" s="853"/>
      <c r="L24" s="853"/>
      <c r="M24" s="853"/>
      <c r="N24" s="853"/>
      <c r="O24" s="854"/>
      <c r="P24" s="6"/>
      <c r="Q24" s="6"/>
      <c r="R24" s="6"/>
      <c r="S24" s="6"/>
      <c r="T24" s="6"/>
      <c r="U24" s="6"/>
      <c r="V24" s="6"/>
    </row>
    <row r="25" spans="2:22" ht="16.149999999999999" thickBot="1">
      <c r="B25" s="208" t="s">
        <v>260</v>
      </c>
      <c r="C25" s="207">
        <f>'Päästökertoimet ja muut'!C49</f>
        <v>152</v>
      </c>
      <c r="D25" s="209" t="s">
        <v>380</v>
      </c>
      <c r="E25" s="6"/>
      <c r="F25" s="393"/>
      <c r="G25" s="394" t="s">
        <v>325</v>
      </c>
      <c r="H25" s="394" t="s">
        <v>381</v>
      </c>
      <c r="I25" s="394" t="s">
        <v>363</v>
      </c>
      <c r="J25" s="394" t="s">
        <v>382</v>
      </c>
      <c r="K25" s="394" t="s">
        <v>383</v>
      </c>
      <c r="L25" s="394" t="s">
        <v>384</v>
      </c>
      <c r="M25" s="394" t="s">
        <v>362</v>
      </c>
      <c r="N25" s="394" t="s">
        <v>385</v>
      </c>
      <c r="O25" s="395"/>
      <c r="P25" s="6"/>
      <c r="Q25" s="6"/>
      <c r="R25" s="6"/>
      <c r="S25" s="6"/>
      <c r="T25" s="6"/>
      <c r="U25" s="6"/>
      <c r="V25" s="6"/>
    </row>
    <row r="26" spans="2:22" ht="15.6">
      <c r="B26" s="210" t="s">
        <v>261</v>
      </c>
      <c r="C26" s="25">
        <f>'Päästökertoimet ja muut'!C50</f>
        <v>39.159999999999997</v>
      </c>
      <c r="D26" s="211" t="s">
        <v>262</v>
      </c>
      <c r="E26" s="6"/>
      <c r="F26" s="196"/>
      <c r="G26" s="22">
        <f>U35*C25</f>
        <v>718412.27586206887</v>
      </c>
      <c r="H26" s="22">
        <f>V35*C27</f>
        <v>3042.8571428571427</v>
      </c>
      <c r="I26" s="22">
        <f>W35*C28</f>
        <v>9036.7610837438424</v>
      </c>
      <c r="J26" s="22">
        <f>X35*C29</f>
        <v>11332.019704433498</v>
      </c>
      <c r="K26" s="22">
        <f>Y35*C30</f>
        <v>8499.0147783251232</v>
      </c>
      <c r="L26" s="22">
        <f>Z35*0</f>
        <v>0</v>
      </c>
      <c r="M26" s="22">
        <f>AA35*C31</f>
        <v>149.53649261083746</v>
      </c>
      <c r="N26" s="22">
        <f>SUM(G26:M26)</f>
        <v>750472.46506403934</v>
      </c>
      <c r="O26" s="197" t="s">
        <v>386</v>
      </c>
      <c r="P26" s="6"/>
      <c r="Q26" s="6"/>
      <c r="R26" s="6"/>
      <c r="S26" s="6"/>
      <c r="T26" s="6"/>
      <c r="U26" s="6"/>
      <c r="V26" s="6"/>
    </row>
    <row r="27" spans="2:22" ht="16.149999999999999" thickBot="1">
      <c r="B27" s="212" t="s">
        <v>257</v>
      </c>
      <c r="C27" s="23">
        <f>'Päästökertoimet ja muut'!C45</f>
        <v>9.2799999999999994</v>
      </c>
      <c r="D27" s="213" t="s">
        <v>250</v>
      </c>
      <c r="E27" s="6"/>
      <c r="F27" s="198" t="s">
        <v>387</v>
      </c>
      <c r="G27" s="24">
        <f t="shared" ref="G27:M27" si="0">G26/1000</f>
        <v>718.4122758620689</v>
      </c>
      <c r="H27" s="24">
        <f t="shared" si="0"/>
        <v>3.0428571428571427</v>
      </c>
      <c r="I27" s="24">
        <f t="shared" si="0"/>
        <v>9.0367610837438423</v>
      </c>
      <c r="J27" s="24">
        <f t="shared" si="0"/>
        <v>11.332019704433499</v>
      </c>
      <c r="K27" s="24">
        <f t="shared" si="0"/>
        <v>8.4990147783251224</v>
      </c>
      <c r="L27" s="24">
        <f t="shared" si="0"/>
        <v>0</v>
      </c>
      <c r="M27" s="24">
        <f t="shared" si="0"/>
        <v>0.14953649261083746</v>
      </c>
      <c r="N27" s="24">
        <f>SUM(G27:M27)</f>
        <v>750.47246506403928</v>
      </c>
      <c r="O27" s="199" t="s">
        <v>388</v>
      </c>
      <c r="P27" s="6"/>
      <c r="Q27" s="6"/>
      <c r="R27" s="6"/>
      <c r="S27" s="6"/>
      <c r="T27" s="6"/>
      <c r="U27" s="6"/>
      <c r="V27" s="6"/>
    </row>
    <row r="28" spans="2:22" ht="16.149999999999999" thickBot="1">
      <c r="B28" s="212" t="s">
        <v>249</v>
      </c>
      <c r="C28" s="23">
        <f>'Päästökertoimet ja muut'!C48</f>
        <v>53</v>
      </c>
      <c r="D28" s="213" t="s">
        <v>250</v>
      </c>
      <c r="E28" s="6"/>
      <c r="F28" s="846" t="s">
        <v>389</v>
      </c>
      <c r="G28" s="847"/>
      <c r="H28" s="847"/>
      <c r="I28" s="847"/>
      <c r="J28" s="847"/>
      <c r="K28" s="847"/>
      <c r="L28" s="847"/>
      <c r="M28" s="847"/>
      <c r="N28" s="847"/>
      <c r="O28" s="848"/>
      <c r="P28" s="6"/>
      <c r="Q28" s="6"/>
      <c r="R28" s="6"/>
      <c r="S28" s="6"/>
      <c r="T28" s="6"/>
      <c r="U28" s="6"/>
      <c r="V28" s="6"/>
    </row>
    <row r="29" spans="2:22" ht="16.149999999999999" thickBot="1">
      <c r="B29" s="212" t="s">
        <v>258</v>
      </c>
      <c r="C29" s="23">
        <f>'Päästökertoimet ja muut'!C46</f>
        <v>34.56</v>
      </c>
      <c r="D29" s="213" t="s">
        <v>250</v>
      </c>
      <c r="E29" s="6"/>
      <c r="F29" s="393"/>
      <c r="G29" s="394" t="s">
        <v>325</v>
      </c>
      <c r="H29" s="394" t="s">
        <v>381</v>
      </c>
      <c r="I29" s="394" t="s">
        <v>363</v>
      </c>
      <c r="J29" s="394" t="s">
        <v>382</v>
      </c>
      <c r="K29" s="394" t="s">
        <v>383</v>
      </c>
      <c r="L29" s="394" t="s">
        <v>384</v>
      </c>
      <c r="M29" s="394" t="s">
        <v>362</v>
      </c>
      <c r="N29" s="394" t="s">
        <v>385</v>
      </c>
      <c r="O29" s="395"/>
      <c r="P29" s="6"/>
      <c r="Q29" s="6"/>
      <c r="R29" s="6"/>
      <c r="S29" s="6"/>
      <c r="T29" s="6"/>
      <c r="U29" s="6"/>
      <c r="V29" s="6"/>
    </row>
    <row r="30" spans="2:22" ht="15.6">
      <c r="B30" s="212" t="s">
        <v>259</v>
      </c>
      <c r="C30" s="23">
        <f>'Päästökertoimet ja muut'!C47</f>
        <v>25.92</v>
      </c>
      <c r="D30" s="213" t="s">
        <v>250</v>
      </c>
      <c r="E30" s="6"/>
      <c r="F30" s="196"/>
      <c r="G30" s="22">
        <f>U35*C26</f>
        <v>185085.68896551721</v>
      </c>
      <c r="H30" s="22"/>
      <c r="I30" s="22">
        <f>W35*C31*C32</f>
        <v>2343.7607142857141</v>
      </c>
      <c r="J30" s="22"/>
      <c r="K30" s="22"/>
      <c r="L30" s="22"/>
      <c r="M30" s="22"/>
      <c r="N30" s="22">
        <f>SUM(G30:M30)</f>
        <v>187429.44967980293</v>
      </c>
      <c r="O30" s="197" t="s">
        <v>386</v>
      </c>
      <c r="P30" s="6"/>
      <c r="Q30" s="6"/>
      <c r="R30" s="6"/>
      <c r="S30" s="6"/>
      <c r="T30" s="6"/>
      <c r="U30" s="6"/>
      <c r="V30" s="6"/>
    </row>
    <row r="31" spans="2:22" ht="16.149999999999999" thickBot="1">
      <c r="B31" s="210" t="str">
        <f>'Päästökertoimet ja muut'!B99</f>
        <v>city bus energy consumption</v>
      </c>
      <c r="C31" s="25">
        <f>'Päästökertoimet ja muut'!C99</f>
        <v>0.79</v>
      </c>
      <c r="D31" s="160" t="str">
        <f>'Päästökertoimet ja muut'!F99</f>
        <v>MJ/hkm</v>
      </c>
      <c r="E31" s="6"/>
      <c r="F31" s="311"/>
      <c r="G31" s="20">
        <f>G30/1000</f>
        <v>185.08568896551722</v>
      </c>
      <c r="H31" s="20"/>
      <c r="I31" s="20">
        <f>I30/1000</f>
        <v>2.3437607142857142</v>
      </c>
      <c r="J31" s="20"/>
      <c r="K31" s="20"/>
      <c r="L31" s="20"/>
      <c r="M31" s="20"/>
      <c r="N31" s="20">
        <f>SUM(G31:M31)</f>
        <v>187.42944967980293</v>
      </c>
      <c r="O31" s="312" t="s">
        <v>388</v>
      </c>
      <c r="P31" s="6"/>
      <c r="Q31" s="6"/>
      <c r="R31" s="6"/>
      <c r="S31" s="6"/>
      <c r="T31" s="6"/>
      <c r="U31" s="6"/>
      <c r="V31" s="6"/>
    </row>
    <row r="32" spans="2:22" ht="22.15" thickTop="1" thickBot="1">
      <c r="B32" s="308" t="str">
        <f>'Päästökertoimet ja muut'!B70</f>
        <v>Diesel manufacturing and distributing</v>
      </c>
      <c r="C32" s="309">
        <f>'Päästökertoimet ja muut'!C70</f>
        <v>17.399999999999999</v>
      </c>
      <c r="D32" s="310" t="str">
        <f>'Päästökertoimet ja muut'!F70</f>
        <v>g CO₂e/MJ</v>
      </c>
      <c r="E32" s="6"/>
      <c r="F32" s="200" t="s">
        <v>387</v>
      </c>
      <c r="G32" s="201">
        <f>G27+G31</f>
        <v>903.49796482758609</v>
      </c>
      <c r="H32" s="201">
        <f t="shared" ref="H32:N32" si="1">H27+H31</f>
        <v>3.0428571428571427</v>
      </c>
      <c r="I32" s="201">
        <f t="shared" si="1"/>
        <v>11.380521798029557</v>
      </c>
      <c r="J32" s="201">
        <f t="shared" si="1"/>
        <v>11.332019704433499</v>
      </c>
      <c r="K32" s="201">
        <f t="shared" si="1"/>
        <v>8.4990147783251224</v>
      </c>
      <c r="L32" s="201">
        <f t="shared" si="1"/>
        <v>0</v>
      </c>
      <c r="M32" s="201">
        <f t="shared" si="1"/>
        <v>0.14953649261083746</v>
      </c>
      <c r="N32" s="201">
        <f t="shared" si="1"/>
        <v>937.90191474384221</v>
      </c>
      <c r="O32" s="202" t="s">
        <v>388</v>
      </c>
      <c r="P32" s="6"/>
      <c r="Q32" s="6"/>
      <c r="R32" s="6"/>
      <c r="S32" s="6"/>
      <c r="T32" s="6"/>
      <c r="U32" s="6"/>
      <c r="V32" s="6"/>
    </row>
    <row r="33" spans="2:28" ht="16.149999999999999" thickBot="1">
      <c r="B33" s="18"/>
      <c r="C33" s="17"/>
      <c r="D33" s="7" t="s">
        <v>390</v>
      </c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16"/>
      <c r="Q33" s="9"/>
      <c r="R33" s="9"/>
      <c r="S33" s="15"/>
      <c r="T33" s="15"/>
      <c r="U33" s="15"/>
      <c r="V33" s="15"/>
    </row>
    <row r="34" spans="2:28" ht="63" thickBot="1">
      <c r="B34" s="396" t="s">
        <v>391</v>
      </c>
      <c r="C34" s="397" t="s">
        <v>392</v>
      </c>
      <c r="D34" s="397" t="s">
        <v>393</v>
      </c>
      <c r="E34" s="397" t="s">
        <v>394</v>
      </c>
      <c r="F34" s="397" t="s">
        <v>395</v>
      </c>
      <c r="G34" s="397" t="s">
        <v>396</v>
      </c>
      <c r="H34" s="397" t="s">
        <v>397</v>
      </c>
      <c r="I34" s="397" t="s">
        <v>398</v>
      </c>
      <c r="J34" s="397" t="s">
        <v>399</v>
      </c>
      <c r="K34" s="397" t="s">
        <v>400</v>
      </c>
      <c r="L34" s="397" t="s">
        <v>401</v>
      </c>
      <c r="M34" s="397" t="s">
        <v>402</v>
      </c>
      <c r="N34" s="397" t="s">
        <v>403</v>
      </c>
      <c r="O34" s="397" t="s">
        <v>404</v>
      </c>
      <c r="P34" s="397" t="s">
        <v>405</v>
      </c>
      <c r="Q34" s="398" t="s">
        <v>406</v>
      </c>
      <c r="R34" s="397" t="s">
        <v>407</v>
      </c>
      <c r="S34" s="397" t="s">
        <v>408</v>
      </c>
      <c r="T34" s="397" t="s">
        <v>409</v>
      </c>
      <c r="U34" s="397" t="s">
        <v>410</v>
      </c>
      <c r="V34" s="397" t="s">
        <v>411</v>
      </c>
      <c r="W34" s="397" t="s">
        <v>412</v>
      </c>
      <c r="X34" s="397" t="s">
        <v>413</v>
      </c>
      <c r="Y34" s="397" t="s">
        <v>414</v>
      </c>
      <c r="Z34" s="397" t="s">
        <v>415</v>
      </c>
      <c r="AA34" s="399" t="s">
        <v>416</v>
      </c>
      <c r="AB34" s="400" t="s">
        <v>417</v>
      </c>
    </row>
    <row r="35" spans="2:28" ht="15.6">
      <c r="B35" s="14">
        <v>213</v>
      </c>
      <c r="C35" s="12">
        <v>1</v>
      </c>
      <c r="D35" s="11">
        <v>2</v>
      </c>
      <c r="E35" s="12">
        <f>C19+C20</f>
        <v>0.67241379310344829</v>
      </c>
      <c r="F35" s="11">
        <f>AVERAGE(C9:C10)</f>
        <v>16.5</v>
      </c>
      <c r="G35" s="12">
        <f>$C$18/4</f>
        <v>3.0788177339901478E-2</v>
      </c>
      <c r="H35" s="13">
        <f>$C$8</f>
        <v>25</v>
      </c>
      <c r="I35" s="12">
        <f>$C$18/4</f>
        <v>3.0788177339901478E-2</v>
      </c>
      <c r="J35" s="11">
        <f>C7</f>
        <v>13</v>
      </c>
      <c r="K35" s="12">
        <f>$C$18/4</f>
        <v>3.0788177339901478E-2</v>
      </c>
      <c r="L35" s="13">
        <f>$C$8</f>
        <v>25</v>
      </c>
      <c r="M35" s="12">
        <f>$C$18/4</f>
        <v>3.0788177339901478E-2</v>
      </c>
      <c r="N35" s="13">
        <f>$C$8</f>
        <v>25</v>
      </c>
      <c r="O35" s="12">
        <f>C16</f>
        <v>9.3596059113300489E-2</v>
      </c>
      <c r="P35" s="11">
        <f>C5</f>
        <v>1.4</v>
      </c>
      <c r="Q35" s="12">
        <f>C17</f>
        <v>0.10098522167487685</v>
      </c>
      <c r="R35" s="11">
        <f>C6</f>
        <v>4.4000000000000004</v>
      </c>
      <c r="S35" s="12">
        <f>C21</f>
        <v>9.852216748768473E-3</v>
      </c>
      <c r="T35" s="11">
        <f>C11</f>
        <v>45</v>
      </c>
      <c r="U35" s="10">
        <f>$F$35*$B$35*$D$35*E35</f>
        <v>4726.3965517241377</v>
      </c>
      <c r="V35" s="10">
        <f>$H$35*$B$35*$D$35*G35</f>
        <v>327.89408866995075</v>
      </c>
      <c r="W35" s="10">
        <f>$J$35*$B$35*$D$35*I35</f>
        <v>170.50492610837438</v>
      </c>
      <c r="X35" s="10">
        <f>$L$35*$B$35*$D$35*K35</f>
        <v>327.89408866995075</v>
      </c>
      <c r="Y35" s="10">
        <f>$N$35*$B$35*$D$35*M35</f>
        <v>327.89408866995075</v>
      </c>
      <c r="Z35" s="10">
        <f>$P$35*$B$35*$D$35*O35</f>
        <v>55.820689655172409</v>
      </c>
      <c r="AA35" s="10">
        <f>$R$35*$B$35*$D$35*Q35</f>
        <v>189.28669950738919</v>
      </c>
      <c r="AB35" s="10">
        <f>SUM(U35:AA35)</f>
        <v>6125.691133004927</v>
      </c>
    </row>
    <row r="36" spans="2:28" ht="21">
      <c r="B36" s="9"/>
      <c r="C36" s="8"/>
      <c r="D36" s="7"/>
      <c r="E36" s="6"/>
      <c r="F36" s="5"/>
      <c r="G36" s="4"/>
      <c r="H36" s="4"/>
      <c r="I36" s="4"/>
      <c r="J36" s="4"/>
      <c r="K36" s="4"/>
      <c r="L36" s="4"/>
      <c r="M36" s="4"/>
      <c r="N36" s="4"/>
      <c r="O36" s="4"/>
    </row>
    <row r="37" spans="2:28">
      <c r="B37" s="3" t="s">
        <v>418</v>
      </c>
      <c r="C37" t="s">
        <v>419</v>
      </c>
    </row>
  </sheetData>
  <sheetProtection algorithmName="SHA-512" hashValue="qSPmNgz8m6bJE8nGfoZlfzS7Rt34QU6ZBOCN2IVCmdUYzqImae7+h/rG5Ni8rcwwjF/wfty9AhoicmaSA1OLNQ==" saltValue="DrEJExzKvoxZKkZDNc6VlA==" spinCount="100000" sheet="1" objects="1" scenarios="1"/>
  <mergeCells count="3">
    <mergeCell ref="F28:O28"/>
    <mergeCell ref="B24:D24"/>
    <mergeCell ref="F24:O24"/>
  </mergeCells>
  <hyperlinks>
    <hyperlink ref="D15" r:id="rId1" xr:uid="{C3FBB9D1-CEDA-4D9B-913B-6583A3FD39AF}"/>
    <hyperlink ref="D5" r:id="rId2" xr:uid="{86F769B3-FA02-40F9-A7C5-F87014A80778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5378C9-165A-4B12-B08F-C2E5E439530A}">
  <dimension ref="A2:F56"/>
  <sheetViews>
    <sheetView workbookViewId="0">
      <selection activeCell="A2" sqref="A2"/>
    </sheetView>
  </sheetViews>
  <sheetFormatPr defaultColWidth="8.7109375" defaultRowHeight="14.45"/>
  <cols>
    <col min="1" max="1" width="56" customWidth="1"/>
    <col min="2" max="2" width="23.7109375" customWidth="1"/>
    <col min="3" max="3" width="15.7109375" customWidth="1"/>
    <col min="4" max="4" width="22.7109375" customWidth="1"/>
    <col min="5" max="5" width="41.7109375" customWidth="1"/>
    <col min="6" max="6" width="14.28515625" customWidth="1"/>
    <col min="7" max="7" width="86.5703125" customWidth="1"/>
  </cols>
  <sheetData>
    <row r="2" spans="1:6">
      <c r="A2" s="636" t="s">
        <v>420</v>
      </c>
      <c r="B2" s="637">
        <f>SUM(B37:B39)</f>
        <v>0</v>
      </c>
      <c r="C2" s="638" t="s">
        <v>8</v>
      </c>
    </row>
    <row r="3" spans="1:6">
      <c r="A3" s="636" t="s">
        <v>421</v>
      </c>
      <c r="B3" s="637">
        <f>SUM(B40:B52)-B51</f>
        <v>0</v>
      </c>
      <c r="C3" s="638" t="s">
        <v>8</v>
      </c>
    </row>
    <row r="4" spans="1:6">
      <c r="A4" s="636" t="s">
        <v>422</v>
      </c>
      <c r="B4" s="637">
        <f>SUM(B53:B56)</f>
        <v>0</v>
      </c>
      <c r="C4" s="638" t="s">
        <v>8</v>
      </c>
    </row>
    <row r="5" spans="1:6">
      <c r="A5" s="636" t="s">
        <v>423</v>
      </c>
      <c r="B5" s="637">
        <f>B51</f>
        <v>0</v>
      </c>
      <c r="C5" s="638" t="s">
        <v>8</v>
      </c>
    </row>
    <row r="8" spans="1:6">
      <c r="A8" s="636" t="s">
        <v>424</v>
      </c>
      <c r="B8" s="636" t="s">
        <v>425</v>
      </c>
      <c r="C8" s="636" t="s">
        <v>136</v>
      </c>
      <c r="D8" s="636" t="s">
        <v>426</v>
      </c>
    </row>
    <row r="9" spans="1:6">
      <c r="A9" s="637" t="s">
        <v>427</v>
      </c>
      <c r="B9" s="637">
        <v>8.8999999999999996E-2</v>
      </c>
      <c r="C9" s="637" t="s">
        <v>425</v>
      </c>
      <c r="D9" s="639" t="s">
        <v>428</v>
      </c>
    </row>
    <row r="10" spans="1:6">
      <c r="A10" s="637" t="s">
        <v>429</v>
      </c>
      <c r="B10" s="637">
        <v>0.03</v>
      </c>
      <c r="C10" s="637" t="s">
        <v>425</v>
      </c>
      <c r="D10" s="640" t="s">
        <v>430</v>
      </c>
    </row>
    <row r="11" spans="1:6">
      <c r="A11" s="637" t="s">
        <v>431</v>
      </c>
      <c r="B11" s="637">
        <v>0.11899999999999999</v>
      </c>
      <c r="C11" s="637" t="s">
        <v>432</v>
      </c>
      <c r="D11" s="639" t="s">
        <v>433</v>
      </c>
    </row>
    <row r="12" spans="1:6">
      <c r="A12" s="636" t="s">
        <v>424</v>
      </c>
      <c r="B12" s="636" t="s">
        <v>434</v>
      </c>
      <c r="C12" s="636" t="s">
        <v>136</v>
      </c>
      <c r="D12" s="636" t="s">
        <v>426</v>
      </c>
      <c r="E12" s="636" t="s">
        <v>435</v>
      </c>
    </row>
    <row r="13" spans="1:6" ht="43.15">
      <c r="A13" s="641" t="str">
        <f>'Päästökertoimet ja muut'!B97</f>
        <v>Muut hankinnat</v>
      </c>
      <c r="B13" s="641">
        <f>'Päästökertoimet ja muut'!C97</f>
        <v>0.5</v>
      </c>
      <c r="C13" s="642" t="s">
        <v>432</v>
      </c>
      <c r="D13" s="641" t="str">
        <f>'Päästökertoimet ja muut'!L97</f>
        <v>SUOMEN YMPÄRISTÖKESKUKSEN RAPORTTEJA 15 | 2019</v>
      </c>
      <c r="E13" s="641" t="str">
        <f>'Päästökertoimet ja muut'!M97</f>
        <v>https://helda.helsinki.fi/bitstream/handle/10138/300737/SYKEra_15_2019_korjattu_26_02_2020.pdf?sequence=4&amp;isAllowed=y</v>
      </c>
    </row>
    <row r="14" spans="1:6">
      <c r="A14" s="643"/>
      <c r="B14" s="643"/>
      <c r="C14" s="644"/>
      <c r="D14" s="643"/>
      <c r="E14" s="643"/>
    </row>
    <row r="15" spans="1:6">
      <c r="A15" s="636" t="s">
        <v>424</v>
      </c>
      <c r="B15" s="636" t="s">
        <v>436</v>
      </c>
      <c r="C15" s="636" t="s">
        <v>437</v>
      </c>
      <c r="D15" s="636" t="s">
        <v>438</v>
      </c>
      <c r="E15" s="636" t="s">
        <v>136</v>
      </c>
      <c r="F15" s="636" t="s">
        <v>426</v>
      </c>
    </row>
    <row r="16" spans="1:6">
      <c r="A16" s="645" t="s">
        <v>439</v>
      </c>
      <c r="B16" s="645" t="s">
        <v>440</v>
      </c>
      <c r="C16" s="646">
        <v>0.3</v>
      </c>
      <c r="D16" s="645">
        <v>0</v>
      </c>
      <c r="E16" s="637" t="s">
        <v>321</v>
      </c>
      <c r="F16" s="647" t="s">
        <v>323</v>
      </c>
    </row>
    <row r="17" spans="1:6" ht="28.9">
      <c r="A17" s="645" t="s">
        <v>441</v>
      </c>
      <c r="B17" s="645" t="s">
        <v>442</v>
      </c>
      <c r="C17" s="646">
        <v>0.4</v>
      </c>
      <c r="D17" s="645">
        <v>0</v>
      </c>
      <c r="E17" s="637" t="s">
        <v>321</v>
      </c>
      <c r="F17" s="647" t="s">
        <v>323</v>
      </c>
    </row>
    <row r="18" spans="1:6">
      <c r="A18" s="645" t="s">
        <v>443</v>
      </c>
      <c r="B18" s="645" t="s">
        <v>444</v>
      </c>
      <c r="C18" s="646">
        <v>0.5</v>
      </c>
      <c r="D18" s="645">
        <v>0</v>
      </c>
      <c r="E18" s="637" t="s">
        <v>321</v>
      </c>
      <c r="F18" s="647" t="s">
        <v>323</v>
      </c>
    </row>
    <row r="19" spans="1:6">
      <c r="A19" s="645" t="s">
        <v>445</v>
      </c>
      <c r="B19" s="645" t="s">
        <v>446</v>
      </c>
      <c r="C19" s="646">
        <v>0.2</v>
      </c>
      <c r="D19" s="645">
        <v>0</v>
      </c>
      <c r="E19" s="637" t="s">
        <v>321</v>
      </c>
      <c r="F19" s="647" t="s">
        <v>323</v>
      </c>
    </row>
    <row r="20" spans="1:6">
      <c r="A20" s="645" t="s">
        <v>447</v>
      </c>
      <c r="B20" s="645" t="s">
        <v>446</v>
      </c>
      <c r="C20" s="646">
        <v>0.2</v>
      </c>
      <c r="D20" s="645">
        <v>0</v>
      </c>
      <c r="E20" s="637" t="s">
        <v>321</v>
      </c>
      <c r="F20" s="647" t="s">
        <v>323</v>
      </c>
    </row>
    <row r="21" spans="1:6" ht="28.9">
      <c r="A21" s="645" t="s">
        <v>448</v>
      </c>
      <c r="B21" s="645" t="s">
        <v>448</v>
      </c>
      <c r="C21" s="646">
        <v>0.5</v>
      </c>
      <c r="D21" s="645">
        <v>0</v>
      </c>
      <c r="E21" s="637" t="s">
        <v>321</v>
      </c>
      <c r="F21" s="647" t="s">
        <v>323</v>
      </c>
    </row>
    <row r="22" spans="1:6" ht="28.9">
      <c r="A22" s="645" t="s">
        <v>449</v>
      </c>
      <c r="B22" s="645" t="s">
        <v>450</v>
      </c>
      <c r="C22" s="646">
        <v>0.7</v>
      </c>
      <c r="D22" s="645">
        <v>0.13999999999999999</v>
      </c>
      <c r="E22" s="637" t="s">
        <v>321</v>
      </c>
      <c r="F22" s="648" t="s">
        <v>451</v>
      </c>
    </row>
    <row r="23" spans="1:6" ht="28.9">
      <c r="A23" s="645" t="s">
        <v>452</v>
      </c>
      <c r="B23" s="645" t="s">
        <v>442</v>
      </c>
      <c r="C23" s="646">
        <v>0.4</v>
      </c>
      <c r="D23" s="645">
        <v>0</v>
      </c>
      <c r="E23" s="637" t="s">
        <v>321</v>
      </c>
      <c r="F23" s="647" t="s">
        <v>323</v>
      </c>
    </row>
    <row r="24" spans="1:6">
      <c r="A24" s="645" t="s">
        <v>453</v>
      </c>
      <c r="B24" s="645" t="s">
        <v>444</v>
      </c>
      <c r="C24" s="646">
        <v>0.5</v>
      </c>
      <c r="D24" s="645">
        <v>0</v>
      </c>
      <c r="E24" s="637" t="s">
        <v>321</v>
      </c>
      <c r="F24" s="647" t="s">
        <v>323</v>
      </c>
    </row>
    <row r="25" spans="1:6">
      <c r="A25" s="645" t="s">
        <v>454</v>
      </c>
      <c r="B25" s="645" t="s">
        <v>444</v>
      </c>
      <c r="C25" s="646">
        <v>0.5</v>
      </c>
      <c r="D25" s="645">
        <v>0</v>
      </c>
      <c r="E25" s="637" t="s">
        <v>321</v>
      </c>
      <c r="F25" s="647" t="s">
        <v>323</v>
      </c>
    </row>
    <row r="26" spans="1:6" ht="28.9">
      <c r="A26" s="645" t="s">
        <v>455</v>
      </c>
      <c r="B26" s="645" t="s">
        <v>456</v>
      </c>
      <c r="C26" s="646">
        <v>0.3</v>
      </c>
      <c r="D26" s="645">
        <v>0</v>
      </c>
      <c r="E26" s="637" t="s">
        <v>321</v>
      </c>
      <c r="F26" s="647" t="s">
        <v>323</v>
      </c>
    </row>
    <row r="27" spans="1:6" ht="28.9">
      <c r="A27" s="645" t="s">
        <v>457</v>
      </c>
      <c r="B27" s="645" t="s">
        <v>457</v>
      </c>
      <c r="C27" s="646">
        <v>0.6</v>
      </c>
      <c r="D27" s="645">
        <v>0.12</v>
      </c>
      <c r="E27" s="637" t="s">
        <v>321</v>
      </c>
      <c r="F27" s="648" t="s">
        <v>451</v>
      </c>
    </row>
    <row r="28" spans="1:6">
      <c r="A28" s="645" t="s">
        <v>458</v>
      </c>
      <c r="B28" s="645" t="s">
        <v>459</v>
      </c>
      <c r="C28" s="646">
        <v>0.2</v>
      </c>
      <c r="D28" s="645">
        <v>0.2</v>
      </c>
      <c r="E28" s="637" t="s">
        <v>321</v>
      </c>
      <c r="F28" s="647" t="s">
        <v>323</v>
      </c>
    </row>
    <row r="29" spans="1:6">
      <c r="A29" s="641"/>
      <c r="B29" s="641"/>
      <c r="C29" s="642"/>
      <c r="D29" s="641"/>
      <c r="E29" s="641"/>
    </row>
    <row r="30" spans="1:6">
      <c r="A30" s="649" t="s">
        <v>424</v>
      </c>
      <c r="B30" s="649" t="s">
        <v>434</v>
      </c>
      <c r="C30" s="649" t="s">
        <v>136</v>
      </c>
      <c r="D30" s="649" t="s">
        <v>426</v>
      </c>
      <c r="E30" s="643"/>
    </row>
    <row r="31" spans="1:6">
      <c r="A31" s="637" t="s">
        <v>460</v>
      </c>
      <c r="B31" s="637">
        <v>1.8</v>
      </c>
      <c r="C31" s="637" t="s">
        <v>150</v>
      </c>
      <c r="D31" s="637" t="s">
        <v>461</v>
      </c>
      <c r="E31" s="643"/>
    </row>
    <row r="32" spans="1:6">
      <c r="A32" s="637" t="s">
        <v>462</v>
      </c>
      <c r="B32" s="637">
        <v>3</v>
      </c>
      <c r="C32" s="637" t="s">
        <v>150</v>
      </c>
      <c r="D32" s="637" t="s">
        <v>463</v>
      </c>
      <c r="E32" s="643"/>
    </row>
    <row r="33" spans="1:5">
      <c r="A33" s="637" t="s">
        <v>464</v>
      </c>
      <c r="B33" s="637">
        <v>2.7</v>
      </c>
      <c r="C33" s="637" t="s">
        <v>147</v>
      </c>
      <c r="D33" s="637" t="s">
        <v>465</v>
      </c>
      <c r="E33" s="643"/>
    </row>
    <row r="34" spans="1:5">
      <c r="A34" s="637" t="s">
        <v>466</v>
      </c>
      <c r="B34" s="637">
        <v>3</v>
      </c>
      <c r="C34" s="637" t="s">
        <v>147</v>
      </c>
      <c r="D34" s="637" t="s">
        <v>465</v>
      </c>
      <c r="E34" s="643"/>
    </row>
    <row r="35" spans="1:5">
      <c r="A35" s="650"/>
      <c r="B35" s="650"/>
      <c r="C35" s="650"/>
      <c r="D35" s="650"/>
      <c r="E35" s="651"/>
    </row>
    <row r="36" spans="1:5">
      <c r="A36" s="636" t="s">
        <v>467</v>
      </c>
      <c r="B36" s="636" t="s">
        <v>8</v>
      </c>
    </row>
    <row r="37" spans="1:5">
      <c r="A37" s="637" t="str">
        <f>Laskenta!C97</f>
        <v>Adventtikalenteri</v>
      </c>
      <c r="B37" s="637">
        <f>Laskenta!D97*Tausta_Hankinnat!B9</f>
        <v>0</v>
      </c>
    </row>
    <row r="38" spans="1:5">
      <c r="A38" s="637" t="str">
        <f>Laskenta!C98</f>
        <v>Lähetetyt kirjeet</v>
      </c>
      <c r="B38" s="637">
        <f>Laskenta!D98*Tausta_Hankinnat!B10</f>
        <v>0</v>
      </c>
    </row>
    <row r="39" spans="1:5">
      <c r="A39" s="637" t="str">
        <f>Laskenta!C99</f>
        <v>Muu postitus</v>
      </c>
      <c r="B39" s="637">
        <f>Laskenta!D99*Tausta_Hankinnat!B11</f>
        <v>0</v>
      </c>
    </row>
    <row r="40" spans="1:5">
      <c r="A40" s="637" t="str">
        <f>Laskenta!C50</f>
        <v>Partiohuivit, vaatteet ja vaatekankaat</v>
      </c>
      <c r="B40" s="637">
        <f>Laskenta!D50*Tausta_Hankinnat!C16+Laskenta!E50*Tausta_Hankinnat!D16</f>
        <v>0</v>
      </c>
    </row>
    <row r="41" spans="1:5">
      <c r="A41" s="637" t="str">
        <f>Laskenta!C51</f>
        <v>Partiomerkit ja ansiomerkit</v>
      </c>
      <c r="B41" s="637">
        <f>Laskenta!D51*Tausta_Hankinnat!C17+Laskenta!E51*Tausta_Hankinnat!D17</f>
        <v>0</v>
      </c>
    </row>
    <row r="42" spans="1:5">
      <c r="A42" s="637" t="str">
        <f>Laskenta!C52</f>
        <v>Teltat ja muut retkeilyvälineet</v>
      </c>
      <c r="B42" s="637">
        <f>Laskenta!D52*Tausta_Hankinnat!C18+Laskenta!E52*Tausta_Hankinnat!D18</f>
        <v>0</v>
      </c>
    </row>
    <row r="43" spans="1:5">
      <c r="A43" s="637" t="str">
        <f>Laskenta!C53</f>
        <v>Askartelu- ja toimistotarvikkeet</v>
      </c>
      <c r="B43" s="637">
        <f>Laskenta!D53*Tausta_Hankinnat!C19+Laskenta!E53*Tausta_Hankinnat!D19</f>
        <v>0</v>
      </c>
    </row>
    <row r="44" spans="1:5">
      <c r="A44" s="637" t="str">
        <f>Laskenta!C54</f>
        <v>Kirjat, lehdet ja esitteet</v>
      </c>
      <c r="B44" s="637">
        <f>Laskenta!D54*Tausta_Hankinnat!C20+Laskenta!E54*Tausta_Hankinnat!D20</f>
        <v>0</v>
      </c>
    </row>
    <row r="45" spans="1:5">
      <c r="A45" s="637" t="str">
        <f>Laskenta!C55</f>
        <v>Lasitavarat, astiat ja keittiötyövälineet</v>
      </c>
      <c r="B45" s="637">
        <f>Laskenta!D55*Tausta_Hankinnat!C21+Laskenta!E55*Tausta_Hankinnat!D21</f>
        <v>0</v>
      </c>
    </row>
    <row r="46" spans="1:5">
      <c r="A46" s="637" t="str">
        <f>Laskenta!C56</f>
        <v>Kodinkoneet ja työkalut</v>
      </c>
      <c r="B46" s="637">
        <f>Laskenta!D56*Tausta_Hankinnat!C22+Laskenta!E56*Tausta_Hankinnat!D22</f>
        <v>0</v>
      </c>
    </row>
    <row r="47" spans="1:5">
      <c r="A47" s="637" t="str">
        <f>Laskenta!C57</f>
        <v>Kalusteet</v>
      </c>
      <c r="B47" s="637">
        <f>Laskenta!D57*Tausta_Hankinnat!C23+Laskenta!E57*Tausta_Hankinnat!D23</f>
        <v>0</v>
      </c>
    </row>
    <row r="48" spans="1:5">
      <c r="A48" s="637" t="str">
        <f>Laskenta!C58</f>
        <v>Puu- ja rautakauppatavara</v>
      </c>
      <c r="B48" s="637">
        <f>Laskenta!D58*Tausta_Hankinnat!C24+Laskenta!E58*Tausta_Hankinnat!D24</f>
        <v>0</v>
      </c>
    </row>
    <row r="49" spans="1:2">
      <c r="A49" s="637" t="str">
        <f>Laskenta!C59</f>
        <v>Ensiaputarvikkeet</v>
      </c>
      <c r="B49" s="637">
        <f>Laskenta!D59*Tausta_Hankinnat!C25+Laskenta!E59*Tausta_Hankinnat!D25</f>
        <v>0</v>
      </c>
    </row>
    <row r="50" spans="1:2">
      <c r="A50" s="637" t="str">
        <f>Laskenta!C60</f>
        <v>Audiovisuaaliset laitteet ja tietokoneet</v>
      </c>
      <c r="B50" s="637">
        <f>Laskenta!D60*Tausta_Hankinnat!C27+Laskenta!E60*Tausta_Hankinnat!D27</f>
        <v>0</v>
      </c>
    </row>
    <row r="51" spans="1:2">
      <c r="A51" s="637" t="s">
        <v>12</v>
      </c>
      <c r="B51" s="637">
        <f>Laskenta!D61*Tausta_Hankinnat!C28+Laskenta!E61*Tausta_Hankinnat!D28</f>
        <v>0</v>
      </c>
    </row>
    <row r="52" spans="1:2">
      <c r="A52" s="637" t="str">
        <f>Laskenta!C62</f>
        <v>Muut hankinnat</v>
      </c>
      <c r="B52" s="637">
        <f>Laskenta!D62*Tausta_Hankinnat!B13+Laskenta!E62*Tausta_Hankinnat!B13</f>
        <v>0</v>
      </c>
    </row>
    <row r="53" spans="1:2">
      <c r="A53" s="637" t="str">
        <f>Laskenta!C66</f>
        <v xml:space="preserve">Polttopuu </v>
      </c>
      <c r="B53" s="637">
        <f>Laskenta!D66*Tausta_Hankinnat!B31</f>
        <v>0</v>
      </c>
    </row>
    <row r="54" spans="1:2">
      <c r="A54" s="637" t="str">
        <f>Laskenta!C67</f>
        <v xml:space="preserve">Nestekaasu </v>
      </c>
      <c r="B54" s="637">
        <f>Laskenta!D67*Tausta_Hankinnat!B32</f>
        <v>0</v>
      </c>
    </row>
    <row r="55" spans="1:2">
      <c r="A55" s="637" t="str">
        <f>Laskenta!C68</f>
        <v xml:space="preserve">Diesel </v>
      </c>
      <c r="B55" s="637">
        <f>Laskenta!D68*Tausta_Hankinnat!B33</f>
        <v>0</v>
      </c>
    </row>
    <row r="56" spans="1:2">
      <c r="A56" s="637" t="str">
        <f>Laskenta!C69</f>
        <v xml:space="preserve">Polttoöljy, valopetroli ym. </v>
      </c>
      <c r="B56" s="637">
        <f>Laskenta!D69*Tausta_Hankinnat!B34</f>
        <v>0</v>
      </c>
    </row>
  </sheetData>
  <sheetProtection algorithmName="SHA-512" hashValue="BMjb7I7gBMMAzkBd3HjkNNs3XrQs7Gp/uqSrlT8AQK3n+KswQ+41KWSy+kIRxmox3/tshkkEmOWKV2Lwe4ivkw==" saltValue="yAv6J0rjN2XvYJ2/YiHooQ==" spinCount="100000" sheet="1" objects="1" scenarios="1"/>
  <phoneticPr fontId="7" type="noConversion"/>
  <hyperlinks>
    <hyperlink ref="F16" r:id="rId1" xr:uid="{29893B0D-CDEE-4C09-9EA0-185B5CD13A1D}"/>
    <hyperlink ref="F17" r:id="rId2" xr:uid="{16F48D73-2BB6-4C17-BA16-5F75F72D26B3}"/>
    <hyperlink ref="F18" r:id="rId3" xr:uid="{38AC9DDE-E4B2-4C28-A9B1-1F049E41880C}"/>
    <hyperlink ref="F19" r:id="rId4" xr:uid="{C556010B-319A-4454-8786-B40493841F46}"/>
    <hyperlink ref="F20" r:id="rId5" xr:uid="{4D3AB8E3-C573-4CA2-852F-E4E687EFF4FD}"/>
    <hyperlink ref="F21" r:id="rId6" xr:uid="{47547232-7919-41D8-81A9-8B2CD862B17A}"/>
    <hyperlink ref="F23" r:id="rId7" xr:uid="{AB5989FA-5549-4386-B212-F0A7C0FE5B34}"/>
    <hyperlink ref="F24" r:id="rId8" xr:uid="{D7FE901E-D3E1-4175-9611-1D30031D5B2F}"/>
    <hyperlink ref="F25" r:id="rId9" xr:uid="{C7D4B96E-70EF-4E74-9CAC-A500710FA3FC}"/>
    <hyperlink ref="F26" r:id="rId10" xr:uid="{23B155A9-0DBD-4230-B4CD-B1D24AB0B367}"/>
    <hyperlink ref="F28" r:id="rId11" xr:uid="{D90CFC3A-1701-4F99-BB96-C0C60A906EA3}"/>
    <hyperlink ref="D10" r:id="rId12" xr:uid="{CD00D4BD-79B4-4BBF-83AF-86013351DF9E}"/>
  </hyperlinks>
  <pageMargins left="0.7" right="0.7" top="0.75" bottom="0.75" header="0.3" footer="0.3"/>
  <pageSetup paperSize="9" orientation="portrait" r:id="rId1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9500AE-DD1D-0348-A55B-387EB37EA67E}">
  <dimension ref="A1:O98"/>
  <sheetViews>
    <sheetView topLeftCell="A30" workbookViewId="0">
      <selection activeCell="F6" sqref="F6"/>
    </sheetView>
  </sheetViews>
  <sheetFormatPr defaultColWidth="11.42578125" defaultRowHeight="14.45"/>
  <cols>
    <col min="1" max="1" width="54.7109375" customWidth="1"/>
    <col min="2" max="2" width="25.7109375" customWidth="1"/>
    <col min="3" max="3" width="17.28515625" customWidth="1"/>
    <col min="4" max="4" width="17.7109375" customWidth="1"/>
    <col min="5" max="5" width="46" customWidth="1"/>
    <col min="6" max="6" width="19.42578125" customWidth="1"/>
    <col min="7" max="7" width="27.28515625" customWidth="1"/>
    <col min="8" max="8" width="18.28515625" customWidth="1"/>
    <col min="9" max="9" width="25.28515625" customWidth="1"/>
    <col min="11" max="11" width="12.28515625" customWidth="1"/>
  </cols>
  <sheetData>
    <row r="1" spans="1:6" ht="15" thickBot="1"/>
    <row r="2" spans="1:6" ht="15" thickBot="1">
      <c r="A2" s="401" t="s">
        <v>468</v>
      </c>
      <c r="B2" s="652">
        <f>B32+J53+B61+B64</f>
        <v>0</v>
      </c>
      <c r="C2" s="653" t="s">
        <v>8</v>
      </c>
    </row>
    <row r="4" spans="1:6" ht="15" thickBot="1">
      <c r="A4" s="33" t="s">
        <v>469</v>
      </c>
      <c r="B4" s="654">
        <f>SUM(Laskenta!D74:D79)</f>
        <v>0</v>
      </c>
      <c r="C4" s="33" t="s">
        <v>8</v>
      </c>
      <c r="E4" t="s">
        <v>470</v>
      </c>
      <c r="F4">
        <f>B4</f>
        <v>0</v>
      </c>
    </row>
    <row r="5" spans="1:6">
      <c r="A5" s="194" t="str">
        <f>Laskenta!C82</f>
        <v>Tapahtumissa tarjotut lämpimät ateriat yhteensä</v>
      </c>
      <c r="B5" s="164">
        <f>Laskenta!D82</f>
        <v>0</v>
      </c>
      <c r="C5" s="165" t="str">
        <f>Laskenta!E82</f>
        <v>kpl/vuosi</v>
      </c>
      <c r="E5" t="s">
        <v>471</v>
      </c>
      <c r="F5" s="774">
        <f>B32</f>
        <v>0</v>
      </c>
    </row>
    <row r="6" spans="1:6">
      <c r="A6" s="159" t="str">
        <f>Laskenta!C83</f>
        <v>Arvio kasvisruoan osuudesta osuudesta</v>
      </c>
      <c r="B6" s="655">
        <f>Laskenta!D83</f>
        <v>0</v>
      </c>
      <c r="C6" s="160" t="str">
        <f>Laskenta!E83</f>
        <v>%/vuosi</v>
      </c>
      <c r="E6" t="s">
        <v>472</v>
      </c>
      <c r="F6" s="775">
        <f>J53</f>
        <v>0</v>
      </c>
    </row>
    <row r="7" spans="1:6">
      <c r="A7" s="159" t="str">
        <f>Laskenta!C84</f>
        <v>Arvio kala-/kana-/porsaanliharuoan osuudesta</v>
      </c>
      <c r="B7" s="655">
        <f>Laskenta!D84</f>
        <v>0</v>
      </c>
      <c r="C7" s="160" t="str">
        <f>Laskenta!E84</f>
        <v>%/vuosi</v>
      </c>
      <c r="E7" t="s">
        <v>11</v>
      </c>
      <c r="F7" s="775">
        <f>B61</f>
        <v>0</v>
      </c>
    </row>
    <row r="8" spans="1:6">
      <c r="A8" s="159" t="str">
        <f>Laskenta!C85</f>
        <v>Arvio naudanliharuoan osuudesta</v>
      </c>
      <c r="B8" s="655">
        <f>Laskenta!D85</f>
        <v>0</v>
      </c>
      <c r="C8" s="160" t="str">
        <f>Laskenta!E85</f>
        <v>%/vuosi</v>
      </c>
    </row>
    <row r="9" spans="1:6">
      <c r="A9" s="159" t="str">
        <f>Laskenta!C86</f>
        <v>Kuinka monta henkilöä tapahtumiin on osallistunut?</v>
      </c>
      <c r="B9" s="33">
        <f>Laskenta!D86</f>
        <v>0</v>
      </c>
      <c r="C9" s="160" t="str">
        <f>Laskenta!E86</f>
        <v>kpl/vuosi</v>
      </c>
    </row>
    <row r="10" spans="1:6">
      <c r="A10" s="159" t="s">
        <v>473</v>
      </c>
      <c r="B10" s="33">
        <f>Laskenta!D87</f>
        <v>0</v>
      </c>
      <c r="C10" s="160" t="s">
        <v>474</v>
      </c>
    </row>
    <row r="11" spans="1:6">
      <c r="A11" s="159" t="str">
        <f>Laskenta!C88</f>
        <v>Arvio omalla autolla matkustaneiden osuudesta</v>
      </c>
      <c r="B11" s="655">
        <f>Laskenta!D88</f>
        <v>0</v>
      </c>
      <c r="C11" s="160" t="str">
        <f>Laskenta!E88</f>
        <v>%/vuosi</v>
      </c>
    </row>
    <row r="12" spans="1:6">
      <c r="A12" s="159" t="s">
        <v>475</v>
      </c>
      <c r="B12" s="655">
        <f>Laskenta!D89</f>
        <v>0</v>
      </c>
      <c r="C12" s="160" t="str">
        <f>Laskenta!E89</f>
        <v>%/vuosi</v>
      </c>
    </row>
    <row r="13" spans="1:6">
      <c r="A13" s="159" t="str">
        <f>Laskenta!C90</f>
        <v>Arvio julkisilla/yhteiskuljetuksilla matkustaneiden osuudesta</v>
      </c>
      <c r="B13" s="655">
        <f>Laskenta!D90</f>
        <v>0</v>
      </c>
      <c r="C13" s="160" t="str">
        <f>Laskenta!E90</f>
        <v>%/vuosi</v>
      </c>
    </row>
    <row r="14" spans="1:6">
      <c r="A14" s="656" t="str">
        <f>Laskenta!C91</f>
        <v>Arvio kävellen/pyöräillen matkustaneiden osuudesta</v>
      </c>
      <c r="B14" s="657">
        <f>Laskenta!D91</f>
        <v>0</v>
      </c>
      <c r="C14" s="658" t="str">
        <f>Laskenta!E91</f>
        <v>%/vuosi</v>
      </c>
    </row>
    <row r="15" spans="1:6">
      <c r="A15" s="33" t="s">
        <v>476</v>
      </c>
      <c r="B15" s="654">
        <f>Laskenta!D92</f>
        <v>0</v>
      </c>
      <c r="C15" s="33" t="s">
        <v>47</v>
      </c>
    </row>
    <row r="16" spans="1:6" ht="15" thickBot="1"/>
    <row r="17" spans="1:7" ht="15" thickBot="1">
      <c r="A17" s="659" t="s">
        <v>477</v>
      </c>
      <c r="B17" s="660" t="s">
        <v>478</v>
      </c>
      <c r="C17" s="660" t="s">
        <v>479</v>
      </c>
      <c r="D17" s="660" t="s">
        <v>158</v>
      </c>
      <c r="E17" s="661" t="s">
        <v>480</v>
      </c>
    </row>
    <row r="18" spans="1:7">
      <c r="A18" s="662" t="s">
        <v>43</v>
      </c>
      <c r="B18" s="663" t="s">
        <v>481</v>
      </c>
      <c r="C18" s="664">
        <v>0</v>
      </c>
      <c r="D18" s="665"/>
      <c r="E18" s="666"/>
    </row>
    <row r="19" spans="1:7">
      <c r="A19" s="667" t="s">
        <v>482</v>
      </c>
      <c r="B19" s="668" t="s">
        <v>481</v>
      </c>
      <c r="C19" s="669">
        <f>(0.8+1.005)/2</f>
        <v>0.90249999999999997</v>
      </c>
      <c r="D19" s="670" t="s">
        <v>483</v>
      </c>
      <c r="E19" s="160" t="s">
        <v>484</v>
      </c>
      <c r="G19" s="648"/>
    </row>
    <row r="20" spans="1:7">
      <c r="A20" s="671" t="s">
        <v>485</v>
      </c>
      <c r="B20" s="672" t="s">
        <v>481</v>
      </c>
      <c r="C20" s="673">
        <f>(1.718+1.635+1.87)/3</f>
        <v>1.7409999999999999</v>
      </c>
      <c r="D20" s="674" t="s">
        <v>483</v>
      </c>
      <c r="E20" s="160" t="s">
        <v>484</v>
      </c>
      <c r="G20" s="648"/>
    </row>
    <row r="21" spans="1:7">
      <c r="A21" s="671" t="s">
        <v>486</v>
      </c>
      <c r="B21" s="672" t="s">
        <v>481</v>
      </c>
      <c r="C21" s="673">
        <v>3.4670000000000001</v>
      </c>
      <c r="D21" s="674" t="s">
        <v>483</v>
      </c>
      <c r="E21" s="160" t="s">
        <v>484</v>
      </c>
      <c r="G21" s="648"/>
    </row>
    <row r="22" spans="1:7" ht="66">
      <c r="A22" s="671" t="s">
        <v>487</v>
      </c>
      <c r="B22" s="672">
        <v>0.85</v>
      </c>
      <c r="C22" s="673">
        <v>0.44</v>
      </c>
      <c r="D22" s="675" t="s">
        <v>488</v>
      </c>
      <c r="E22" s="676" t="s">
        <v>489</v>
      </c>
    </row>
    <row r="23" spans="1:7" ht="15" thickBot="1">
      <c r="A23" s="677" t="s">
        <v>490</v>
      </c>
      <c r="B23" s="678">
        <v>0.3</v>
      </c>
      <c r="C23" s="678"/>
      <c r="D23" s="678"/>
      <c r="E23" s="679"/>
    </row>
    <row r="25" spans="1:7" ht="15" thickBot="1"/>
    <row r="26" spans="1:7">
      <c r="A26" s="680" t="s">
        <v>491</v>
      </c>
      <c r="B26" s="681" t="s">
        <v>158</v>
      </c>
    </row>
    <row r="27" spans="1:7" ht="15" thickBot="1">
      <c r="A27" s="682">
        <f>SUMPRODUCT(B6:B8,C19:C21)</f>
        <v>0</v>
      </c>
      <c r="B27" s="683" t="s">
        <v>483</v>
      </c>
    </row>
    <row r="28" spans="1:7" ht="15" thickBot="1">
      <c r="B28" s="684"/>
    </row>
    <row r="29" spans="1:7" ht="15" thickBot="1">
      <c r="A29" s="685" t="s">
        <v>477</v>
      </c>
      <c r="B29" s="686" t="s">
        <v>479</v>
      </c>
      <c r="C29" s="687" t="s">
        <v>158</v>
      </c>
    </row>
    <row r="30" spans="1:7">
      <c r="A30" s="688" t="s">
        <v>492</v>
      </c>
      <c r="B30" s="689">
        <f>A27*B5</f>
        <v>0</v>
      </c>
      <c r="C30" s="690" t="s">
        <v>388</v>
      </c>
    </row>
    <row r="31" spans="1:7">
      <c r="A31" s="691" t="s">
        <v>487</v>
      </c>
      <c r="B31" s="692">
        <f>B22*B5*C22*B23</f>
        <v>0</v>
      </c>
      <c r="C31" s="693" t="s">
        <v>388</v>
      </c>
      <c r="D31" s="694"/>
    </row>
    <row r="32" spans="1:7" ht="15" thickBot="1">
      <c r="A32" s="695" t="s">
        <v>493</v>
      </c>
      <c r="B32" s="696">
        <f>SUM(B30:B31)</f>
        <v>0</v>
      </c>
      <c r="C32" s="697" t="s">
        <v>388</v>
      </c>
    </row>
    <row r="33" spans="1:15" ht="15" thickBot="1"/>
    <row r="34" spans="1:15" ht="16.149999999999999" thickBot="1">
      <c r="A34" s="855" t="s">
        <v>378</v>
      </c>
      <c r="B34" s="856"/>
      <c r="C34" s="857"/>
    </row>
    <row r="35" spans="1:15" ht="15.6">
      <c r="A35" s="698" t="s">
        <v>260</v>
      </c>
      <c r="B35" s="699">
        <f>'Päästökertoimet ja muut'!C49</f>
        <v>152</v>
      </c>
      <c r="C35" s="700" t="s">
        <v>380</v>
      </c>
    </row>
    <row r="36" spans="1:15" ht="15.6">
      <c r="A36" s="701" t="s">
        <v>261</v>
      </c>
      <c r="B36" s="25">
        <f>'Päästökertoimet ja muut'!C50</f>
        <v>39.159999999999997</v>
      </c>
      <c r="C36" s="702" t="s">
        <v>262</v>
      </c>
    </row>
    <row r="37" spans="1:15" ht="15.6">
      <c r="A37" s="703" t="s">
        <v>257</v>
      </c>
      <c r="B37" s="23">
        <f>'Päästökertoimet ja muut'!C45</f>
        <v>9.2799999999999994</v>
      </c>
      <c r="C37" s="704" t="s">
        <v>250</v>
      </c>
    </row>
    <row r="38" spans="1:15" ht="15.6">
      <c r="A38" s="703" t="s">
        <v>249</v>
      </c>
      <c r="B38" s="23">
        <f>'Päästökertoimet ja muut'!C40</f>
        <v>53</v>
      </c>
      <c r="C38" s="704" t="s">
        <v>250</v>
      </c>
    </row>
    <row r="39" spans="1:15" ht="15.6">
      <c r="A39" s="703" t="s">
        <v>258</v>
      </c>
      <c r="B39" s="23">
        <f>'Päästökertoimet ja muut'!C46</f>
        <v>34.56</v>
      </c>
      <c r="C39" s="704" t="s">
        <v>250</v>
      </c>
    </row>
    <row r="40" spans="1:15" ht="15.6">
      <c r="A40" s="703" t="s">
        <v>259</v>
      </c>
      <c r="B40" s="23">
        <f>'Päästökertoimet ja muut'!C47</f>
        <v>25.92</v>
      </c>
      <c r="C40" s="704" t="s">
        <v>250</v>
      </c>
    </row>
    <row r="41" spans="1:15" ht="15.6">
      <c r="A41" s="703" t="s">
        <v>494</v>
      </c>
      <c r="B41" s="692">
        <f>AVERAGE(B37:B40)</f>
        <v>30.69</v>
      </c>
      <c r="C41" s="704" t="s">
        <v>250</v>
      </c>
    </row>
    <row r="42" spans="1:15" ht="15.6">
      <c r="A42" s="703" t="str">
        <f>'Päästökertoimet ja muut'!B99</f>
        <v>city bus energy consumption</v>
      </c>
      <c r="B42" s="23">
        <f>'Päästökertoimet ja muut'!C99</f>
        <v>0.79</v>
      </c>
      <c r="C42" s="704" t="str">
        <f>'Päästökertoimet ja muut'!F99</f>
        <v>MJ/hkm</v>
      </c>
    </row>
    <row r="43" spans="1:15" ht="16.149999999999999" thickBot="1">
      <c r="A43" s="705" t="str">
        <f>'Päästökertoimet ja muut'!B70</f>
        <v>Diesel manufacturing and distributing</v>
      </c>
      <c r="B43" s="706">
        <f>'Päästökertoimet ja muut'!C70</f>
        <v>17.399999999999999</v>
      </c>
      <c r="C43" s="707" t="str">
        <f>'Päästökertoimet ja muut'!F70</f>
        <v>g CO₂e/MJ</v>
      </c>
    </row>
    <row r="44" spans="1:15" ht="15" thickBot="1"/>
    <row r="45" spans="1:15" ht="29.45" thickBot="1">
      <c r="A45" s="708" t="s">
        <v>358</v>
      </c>
      <c r="B45" s="709" t="s">
        <v>359</v>
      </c>
      <c r="C45" t="s">
        <v>330</v>
      </c>
      <c r="F45" s="858" t="s">
        <v>379</v>
      </c>
      <c r="G45" s="859"/>
      <c r="H45" s="859"/>
      <c r="I45" s="859"/>
      <c r="J45" s="859"/>
      <c r="K45" s="860"/>
      <c r="L45" s="17"/>
      <c r="M45" s="17"/>
      <c r="N45" s="17"/>
      <c r="O45" s="17"/>
    </row>
    <row r="46" spans="1:15" ht="16.149999999999999" thickBot="1">
      <c r="A46" s="710" t="s">
        <v>360</v>
      </c>
      <c r="B46" s="214">
        <v>1.4</v>
      </c>
      <c r="C46" s="711" t="s">
        <v>361</v>
      </c>
      <c r="F46" s="393"/>
      <c r="G46" s="394" t="s">
        <v>325</v>
      </c>
      <c r="H46" s="394" t="s">
        <v>495</v>
      </c>
      <c r="I46" s="394" t="s">
        <v>496</v>
      </c>
      <c r="J46" s="394" t="s">
        <v>385</v>
      </c>
      <c r="K46" s="395"/>
    </row>
    <row r="47" spans="1:15" ht="15.6">
      <c r="A47" s="174" t="s">
        <v>362</v>
      </c>
      <c r="B47" s="175">
        <v>4.4000000000000004</v>
      </c>
      <c r="F47" s="712"/>
      <c r="G47" s="203">
        <f>B35*I57</f>
        <v>0</v>
      </c>
      <c r="H47" s="203">
        <f>J57*B41</f>
        <v>0</v>
      </c>
      <c r="I47" s="203">
        <f>K57*0</f>
        <v>0</v>
      </c>
      <c r="J47" s="713">
        <f>SUM(G47:I47)</f>
        <v>0</v>
      </c>
      <c r="K47" s="204" t="s">
        <v>386</v>
      </c>
    </row>
    <row r="48" spans="1:15" ht="16.149999999999999" thickBot="1">
      <c r="A48" s="174" t="s">
        <v>363</v>
      </c>
      <c r="B48" s="175">
        <v>13</v>
      </c>
      <c r="F48" s="714" t="s">
        <v>387</v>
      </c>
      <c r="G48" s="205">
        <f>G47/1000</f>
        <v>0</v>
      </c>
      <c r="H48" s="205">
        <f>H47/1000</f>
        <v>0</v>
      </c>
      <c r="I48" s="205">
        <f>I47/1000</f>
        <v>0</v>
      </c>
      <c r="J48" s="715">
        <f>SUM(G48:I48)</f>
        <v>0</v>
      </c>
      <c r="K48" s="206" t="s">
        <v>388</v>
      </c>
    </row>
    <row r="49" spans="1:15" ht="15.6">
      <c r="A49" s="174" t="s">
        <v>364</v>
      </c>
      <c r="B49" s="175">
        <v>25</v>
      </c>
      <c r="F49" s="861" t="s">
        <v>389</v>
      </c>
      <c r="G49" s="862"/>
      <c r="H49" s="862"/>
      <c r="I49" s="862"/>
      <c r="J49" s="862"/>
      <c r="K49" s="863"/>
      <c r="L49" s="17"/>
      <c r="M49" s="17"/>
      <c r="N49" s="17"/>
      <c r="O49" s="17"/>
    </row>
    <row r="50" spans="1:15" ht="16.149999999999999" thickBot="1">
      <c r="A50" s="174" t="s">
        <v>365</v>
      </c>
      <c r="B50" s="175">
        <v>19</v>
      </c>
      <c r="F50" s="716"/>
      <c r="G50" s="717" t="s">
        <v>325</v>
      </c>
      <c r="H50" s="717" t="s">
        <v>495</v>
      </c>
      <c r="I50" s="717" t="s">
        <v>497</v>
      </c>
      <c r="J50" s="717" t="s">
        <v>385</v>
      </c>
      <c r="K50" s="718"/>
    </row>
    <row r="51" spans="1:15" ht="15.6">
      <c r="A51" s="174" t="s">
        <v>366</v>
      </c>
      <c r="B51" s="175">
        <v>14</v>
      </c>
      <c r="F51" s="712"/>
      <c r="G51" s="203">
        <f>I57*B36</f>
        <v>0</v>
      </c>
      <c r="H51" s="203">
        <f>J57*B42*B43</f>
        <v>0</v>
      </c>
      <c r="I51" s="203"/>
      <c r="J51" s="203">
        <f>SUM(G51:I51)</f>
        <v>0</v>
      </c>
      <c r="K51" s="204" t="s">
        <v>386</v>
      </c>
    </row>
    <row r="52" spans="1:15" ht="16.149999999999999" thickBot="1">
      <c r="A52" s="215" t="s">
        <v>367</v>
      </c>
      <c r="B52" s="216">
        <v>45</v>
      </c>
      <c r="F52" s="714"/>
      <c r="G52" s="205">
        <f>G51/1000</f>
        <v>0</v>
      </c>
      <c r="H52" s="205">
        <f>H51/1000</f>
        <v>0</v>
      </c>
      <c r="I52" s="205"/>
      <c r="J52" s="205">
        <f>SUM(G52:I52)</f>
        <v>0</v>
      </c>
      <c r="K52" s="206" t="s">
        <v>388</v>
      </c>
    </row>
    <row r="53" spans="1:15" ht="22.15" thickTop="1" thickBot="1">
      <c r="A53" s="176" t="s">
        <v>368</v>
      </c>
      <c r="B53" s="178">
        <f>AVERAGE(B46:B52)</f>
        <v>17.399999999999999</v>
      </c>
      <c r="F53" s="200" t="s">
        <v>387</v>
      </c>
      <c r="G53" s="201">
        <f>G48+G52</f>
        <v>0</v>
      </c>
      <c r="H53" s="201">
        <f t="shared" ref="H53:I53" si="0">H48+H52</f>
        <v>0</v>
      </c>
      <c r="I53" s="201">
        <f t="shared" si="0"/>
        <v>0</v>
      </c>
      <c r="J53" s="201">
        <f>SUM(G53:I53)</f>
        <v>0</v>
      </c>
      <c r="K53" s="202" t="s">
        <v>388</v>
      </c>
    </row>
    <row r="55" spans="1:15" ht="15" thickBot="1"/>
    <row r="56" spans="1:15" ht="43.9" thickBot="1">
      <c r="A56" s="719" t="s">
        <v>498</v>
      </c>
      <c r="B56" s="720" t="s">
        <v>499</v>
      </c>
      <c r="C56" s="720" t="s">
        <v>394</v>
      </c>
      <c r="D56" s="720" t="s">
        <v>395</v>
      </c>
      <c r="E56" s="720" t="s">
        <v>500</v>
      </c>
      <c r="F56" s="720" t="s">
        <v>501</v>
      </c>
      <c r="G56" s="720" t="s">
        <v>502</v>
      </c>
      <c r="H56" s="720" t="s">
        <v>503</v>
      </c>
      <c r="I56" s="720" t="s">
        <v>504</v>
      </c>
      <c r="J56" s="720" t="s">
        <v>505</v>
      </c>
      <c r="K56" s="721" t="s">
        <v>506</v>
      </c>
    </row>
    <row r="57" spans="1:15" ht="15" thickBot="1">
      <c r="A57" s="722">
        <f>B9</f>
        <v>0</v>
      </c>
      <c r="B57" s="723">
        <v>2</v>
      </c>
      <c r="C57" s="724">
        <f>B11+B12/3</f>
        <v>0</v>
      </c>
      <c r="D57" s="723">
        <f>IF($B10=0,$B66,$B10)</f>
        <v>180</v>
      </c>
      <c r="E57" s="725">
        <f>B13</f>
        <v>0</v>
      </c>
      <c r="F57" s="723">
        <f>IF($B10=0,$B66,$B10)</f>
        <v>180</v>
      </c>
      <c r="G57" s="724">
        <f>B14</f>
        <v>0</v>
      </c>
      <c r="H57" s="723">
        <f>AVERAGE(B46:B47)</f>
        <v>2.9000000000000004</v>
      </c>
      <c r="I57" s="723">
        <f>A57*C57*D57*B57</f>
        <v>0</v>
      </c>
      <c r="J57" s="723">
        <f>A57*E57*F57*B57</f>
        <v>0</v>
      </c>
      <c r="K57" s="217">
        <f>A57*G57*H57*B57</f>
        <v>0</v>
      </c>
    </row>
    <row r="59" spans="1:15" ht="15" thickBot="1">
      <c r="D59" t="s">
        <v>330</v>
      </c>
    </row>
    <row r="60" spans="1:15" ht="16.149999999999999" thickBot="1">
      <c r="A60" s="726" t="s">
        <v>11</v>
      </c>
      <c r="B60" s="33">
        <f>Tausta_Hankinnat!B13</f>
        <v>0.5</v>
      </c>
      <c r="C60" s="727" t="s">
        <v>507</v>
      </c>
      <c r="D60" t="s">
        <v>322</v>
      </c>
      <c r="E60" t="s">
        <v>323</v>
      </c>
    </row>
    <row r="61" spans="1:15" ht="21.6" thickBot="1">
      <c r="A61" s="728" t="s">
        <v>387</v>
      </c>
      <c r="B61" s="402">
        <f>B15*B60</f>
        <v>0</v>
      </c>
      <c r="C61" s="403" t="s">
        <v>388</v>
      </c>
    </row>
    <row r="62" spans="1:15" ht="15" thickBot="1"/>
    <row r="63" spans="1:15" ht="16.149999999999999" thickBot="1">
      <c r="A63" s="726" t="s">
        <v>508</v>
      </c>
      <c r="B63" s="33">
        <f>B4</f>
        <v>0</v>
      </c>
      <c r="C63" s="727" t="s">
        <v>388</v>
      </c>
      <c r="D63" t="s">
        <v>509</v>
      </c>
    </row>
    <row r="64" spans="1:15" ht="21.6" thickBot="1">
      <c r="A64" s="729" t="s">
        <v>387</v>
      </c>
      <c r="B64" s="402">
        <f>B63</f>
        <v>0</v>
      </c>
      <c r="C64" s="403" t="s">
        <v>388</v>
      </c>
    </row>
    <row r="66" spans="1:4" ht="31.15" customHeight="1">
      <c r="A66" s="730" t="s">
        <v>510</v>
      </c>
      <c r="B66" s="33">
        <v>180</v>
      </c>
      <c r="C66" s="33" t="s">
        <v>85</v>
      </c>
      <c r="D66" s="33" t="s">
        <v>511</v>
      </c>
    </row>
    <row r="68" spans="1:4">
      <c r="A68" s="33" t="s">
        <v>15</v>
      </c>
      <c r="B68" s="33"/>
    </row>
    <row r="69" spans="1:4">
      <c r="A69" s="33" t="str">
        <f>IF(ISBLANK(Laskenta!C74),"",Laskenta!C74)</f>
        <v/>
      </c>
      <c r="B69" s="33">
        <f>Laskenta!D74</f>
        <v>0</v>
      </c>
    </row>
    <row r="70" spans="1:4">
      <c r="A70" s="33" t="str">
        <f>IF(ISBLANK(Laskenta!C75),"",Laskenta!C75)</f>
        <v/>
      </c>
      <c r="B70" s="33">
        <f>Laskenta!D75</f>
        <v>0</v>
      </c>
    </row>
    <row r="71" spans="1:4">
      <c r="A71" s="33" t="str">
        <f>IF(ISBLANK(Laskenta!C76),"",Laskenta!C76)</f>
        <v/>
      </c>
      <c r="B71" s="33">
        <f>Laskenta!D76</f>
        <v>0</v>
      </c>
    </row>
    <row r="72" spans="1:4">
      <c r="A72" s="33" t="str">
        <f>IF(ISBLANK(Laskenta!C77),"",Laskenta!C77)</f>
        <v/>
      </c>
      <c r="B72" s="33">
        <f>Laskenta!D77</f>
        <v>0</v>
      </c>
    </row>
    <row r="73" spans="1:4">
      <c r="A73" s="33" t="str">
        <f>IF(ISBLANK(Laskenta!C78),"",Laskenta!C78)</f>
        <v/>
      </c>
      <c r="B73" s="33">
        <f>Laskenta!D78</f>
        <v>0</v>
      </c>
    </row>
    <row r="74" spans="1:4">
      <c r="A74" s="33" t="str">
        <f>IF(ISBLANK(Laskenta!C79),"",Laskenta!C79)</f>
        <v/>
      </c>
      <c r="B74" s="33">
        <f>Laskenta!D79</f>
        <v>0</v>
      </c>
    </row>
    <row r="75" spans="1:4">
      <c r="A75" s="33" t="s">
        <v>512</v>
      </c>
      <c r="B75" s="731">
        <f>B2-B4</f>
        <v>0</v>
      </c>
    </row>
    <row r="79" spans="1:4" ht="23.45">
      <c r="A79" s="732" t="s">
        <v>513</v>
      </c>
    </row>
    <row r="80" spans="1:4">
      <c r="A80" s="159" t="str">
        <f>Laskenta!C38</f>
        <v>Säännöllisen toiminnan käyntikerrat (yhteenlaskettu)</v>
      </c>
      <c r="B80" s="159">
        <f>Laskenta!D38</f>
        <v>0</v>
      </c>
      <c r="C80" s="159" t="str">
        <f>Laskenta!E38</f>
        <v>kpl/vuosi</v>
      </c>
    </row>
    <row r="81" spans="1:11">
      <c r="A81" s="159" t="str">
        <f>Laskenta!C39</f>
        <v>Arvio keskimääräisestä kulkuetäisyydestä</v>
      </c>
      <c r="B81" s="159">
        <f>Laskenta!D39</f>
        <v>0</v>
      </c>
      <c r="C81" s="159" t="str">
        <f>Laskenta!E39</f>
        <v>km/osallistuja/käyntikerta</v>
      </c>
    </row>
    <row r="82" spans="1:11">
      <c r="A82" s="159" t="str">
        <f>Laskenta!C40</f>
        <v>Arvio omalla autolla matkustaneiden osuudesta</v>
      </c>
      <c r="B82" s="733">
        <f>Laskenta!D40</f>
        <v>0</v>
      </c>
      <c r="C82" s="159" t="str">
        <f>Laskenta!E40</f>
        <v>%/vuosi</v>
      </c>
    </row>
    <row r="83" spans="1:11">
      <c r="A83" s="159" t="str">
        <f>Laskenta!C41</f>
        <v>Arvio kimppakyydeillä matkustaneiden osuudesta</v>
      </c>
      <c r="B83" s="733">
        <f>Laskenta!D41</f>
        <v>0</v>
      </c>
      <c r="C83" s="159" t="str">
        <f>Laskenta!E41</f>
        <v>%/vuosi</v>
      </c>
    </row>
    <row r="84" spans="1:11">
      <c r="A84" s="159" t="str">
        <f>Laskenta!C42</f>
        <v>Arvio julkisilla/yhteiskuljetuksilla matkustaneiden osuudesta</v>
      </c>
      <c r="B84" s="733">
        <f>Laskenta!D42</f>
        <v>0</v>
      </c>
      <c r="C84" s="159" t="str">
        <f>Laskenta!E42</f>
        <v>%/vuosi</v>
      </c>
    </row>
    <row r="85" spans="1:11">
      <c r="A85" s="159" t="str">
        <f>Laskenta!C43</f>
        <v>Arvio kävellen/pyöräillen matkustaneiden osuudesta</v>
      </c>
      <c r="B85" s="733">
        <f>Laskenta!D43</f>
        <v>0</v>
      </c>
      <c r="C85" s="159" t="str">
        <f>Laskenta!E43</f>
        <v>%/vuosi</v>
      </c>
    </row>
    <row r="86" spans="1:11" ht="15" thickBot="1"/>
    <row r="87" spans="1:11" ht="43.9" thickBot="1">
      <c r="A87" s="719" t="s">
        <v>498</v>
      </c>
      <c r="B87" s="720" t="s">
        <v>499</v>
      </c>
      <c r="C87" s="720" t="s">
        <v>394</v>
      </c>
      <c r="D87" s="720" t="s">
        <v>395</v>
      </c>
      <c r="E87" s="720" t="s">
        <v>500</v>
      </c>
      <c r="F87" s="720" t="s">
        <v>501</v>
      </c>
      <c r="G87" s="720" t="s">
        <v>502</v>
      </c>
      <c r="H87" s="720" t="s">
        <v>503</v>
      </c>
      <c r="I87" s="720" t="s">
        <v>504</v>
      </c>
      <c r="J87" s="720" t="s">
        <v>505</v>
      </c>
      <c r="K87" s="721" t="s">
        <v>506</v>
      </c>
    </row>
    <row r="88" spans="1:11" ht="15" thickBot="1">
      <c r="A88" s="722">
        <f>B80</f>
        <v>0</v>
      </c>
      <c r="B88" s="723">
        <v>2</v>
      </c>
      <c r="C88" s="725">
        <f>B82+B83/3</f>
        <v>0</v>
      </c>
      <c r="D88" s="723">
        <f>IF($B81=0,$B50,$B81)</f>
        <v>19</v>
      </c>
      <c r="E88" s="725">
        <f>B84</f>
        <v>0</v>
      </c>
      <c r="F88" s="723">
        <f>IF($B81=0,(B48+B49)/2,$B81)</f>
        <v>19</v>
      </c>
      <c r="G88" s="725">
        <f>B85</f>
        <v>0</v>
      </c>
      <c r="H88" s="723">
        <f>(B46+B47)/2</f>
        <v>2.9000000000000004</v>
      </c>
      <c r="I88" s="723">
        <f>A88*C88*D88*B88</f>
        <v>0</v>
      </c>
      <c r="J88" s="723">
        <f>A88*E88*F88*B88</f>
        <v>0</v>
      </c>
      <c r="K88" s="217">
        <f>A88*G88*H88*B88</f>
        <v>0</v>
      </c>
    </row>
    <row r="89" spans="1:11" ht="15" thickBot="1"/>
    <row r="90" spans="1:11" ht="16.149999999999999" thickBot="1">
      <c r="F90" s="858" t="s">
        <v>379</v>
      </c>
      <c r="G90" s="859"/>
      <c r="H90" s="859"/>
      <c r="I90" s="859"/>
      <c r="J90" s="859"/>
      <c r="K90" s="860"/>
    </row>
    <row r="91" spans="1:11" ht="16.149999999999999" thickBot="1">
      <c r="F91" s="393"/>
      <c r="G91" s="394" t="s">
        <v>325</v>
      </c>
      <c r="H91" s="394" t="s">
        <v>495</v>
      </c>
      <c r="I91" s="394" t="s">
        <v>496</v>
      </c>
      <c r="J91" s="394" t="s">
        <v>385</v>
      </c>
      <c r="K91" s="395"/>
    </row>
    <row r="92" spans="1:11" ht="15.6">
      <c r="F92" s="712"/>
      <c r="G92" s="203">
        <f>B35*I88</f>
        <v>0</v>
      </c>
      <c r="H92" s="203">
        <f>J88*B41</f>
        <v>0</v>
      </c>
      <c r="I92" s="203">
        <f>K88*0</f>
        <v>0</v>
      </c>
      <c r="J92" s="713">
        <f>SUM(G92:I92)</f>
        <v>0</v>
      </c>
      <c r="K92" s="204" t="s">
        <v>386</v>
      </c>
    </row>
    <row r="93" spans="1:11" ht="16.149999999999999" thickBot="1">
      <c r="F93" s="714" t="s">
        <v>387</v>
      </c>
      <c r="G93" s="205">
        <f>G92/1000</f>
        <v>0</v>
      </c>
      <c r="H93" s="205">
        <f>H92/1000</f>
        <v>0</v>
      </c>
      <c r="I93" s="205">
        <f>I92/1000</f>
        <v>0</v>
      </c>
      <c r="J93" s="715">
        <f>SUM(G93:I93)</f>
        <v>0</v>
      </c>
      <c r="K93" s="206" t="s">
        <v>388</v>
      </c>
    </row>
    <row r="94" spans="1:11" ht="15.6">
      <c r="F94" s="861" t="s">
        <v>389</v>
      </c>
      <c r="G94" s="862"/>
      <c r="H94" s="862"/>
      <c r="I94" s="862"/>
      <c r="J94" s="862"/>
      <c r="K94" s="863"/>
    </row>
    <row r="95" spans="1:11" ht="16.149999999999999" thickBot="1">
      <c r="F95" s="734"/>
      <c r="G95" s="717" t="s">
        <v>325</v>
      </c>
      <c r="H95" s="717" t="s">
        <v>495</v>
      </c>
      <c r="I95" s="717" t="s">
        <v>497</v>
      </c>
      <c r="J95" s="717" t="s">
        <v>385</v>
      </c>
      <c r="K95" s="718"/>
    </row>
    <row r="96" spans="1:11" ht="15.6">
      <c r="F96" s="712"/>
      <c r="G96" s="203">
        <f>I88*B36</f>
        <v>0</v>
      </c>
      <c r="H96" s="203">
        <f>J88*0.25*B42*B43</f>
        <v>0</v>
      </c>
      <c r="I96" s="203"/>
      <c r="J96" s="203">
        <f>SUM(G96:I96)</f>
        <v>0</v>
      </c>
      <c r="K96" s="204" t="s">
        <v>386</v>
      </c>
    </row>
    <row r="97" spans="6:11" ht="16.149999999999999" thickBot="1">
      <c r="F97" s="714"/>
      <c r="G97" s="205">
        <f>G96/1000</f>
        <v>0</v>
      </c>
      <c r="H97" s="205">
        <f>H96/1000</f>
        <v>0</v>
      </c>
      <c r="I97" s="205"/>
      <c r="J97" s="205">
        <f>SUM(G97:I97)</f>
        <v>0</v>
      </c>
      <c r="K97" s="206" t="s">
        <v>388</v>
      </c>
    </row>
    <row r="98" spans="6:11" ht="21.6" thickBot="1">
      <c r="F98" s="200" t="s">
        <v>387</v>
      </c>
      <c r="G98" s="201">
        <f>G93+G97</f>
        <v>0</v>
      </c>
      <c r="H98" s="201">
        <f t="shared" ref="H98:I98" si="1">H93+H97</f>
        <v>0</v>
      </c>
      <c r="I98" s="201">
        <f t="shared" si="1"/>
        <v>0</v>
      </c>
      <c r="J98" s="201">
        <f>SUM(G98:I98)</f>
        <v>0</v>
      </c>
      <c r="K98" s="202" t="s">
        <v>388</v>
      </c>
    </row>
  </sheetData>
  <sheetProtection algorithmName="SHA-512" hashValue="rGDr5x7t/Rr8RNikw2HqOmkXrUOjV4bdH6du7YGIGxfVrIOkCUCUbMGXGfUyBDSghYRBkvzmaBcBosRkO1LCmA==" saltValue="QeCAq4T3RvHyi8mFieMXtg==" spinCount="100000" sheet="1" objects="1" scenarios="1"/>
  <mergeCells count="5">
    <mergeCell ref="A34:C34"/>
    <mergeCell ref="F45:K45"/>
    <mergeCell ref="F90:K90"/>
    <mergeCell ref="F49:K49"/>
    <mergeCell ref="F94:K94"/>
  </mergeCells>
  <hyperlinks>
    <hyperlink ref="C46" r:id="rId1" xr:uid="{AEFFC87C-66CA-9442-9A64-D580338DC3F2}"/>
  </hyperlinks>
  <pageMargins left="0.7" right="0.7" top="0.75" bottom="0.75" header="0.3" footer="0.3"/>
  <pageSetup orientation="portrait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75B1FE-DE06-4FD2-9D47-E8959A7202D7}">
  <sheetPr>
    <outlinePr summaryRight="0"/>
  </sheetPr>
  <dimension ref="B2:AI1087"/>
  <sheetViews>
    <sheetView zoomScaleNormal="100" workbookViewId="0">
      <selection activeCell="B2" sqref="B2"/>
    </sheetView>
  </sheetViews>
  <sheetFormatPr defaultColWidth="14.42578125" defaultRowHeight="15.75" customHeight="1"/>
  <cols>
    <col min="1" max="1" width="2" style="35" customWidth="1"/>
    <col min="2" max="2" width="48.42578125" style="35" customWidth="1"/>
    <col min="3" max="4" width="18.28515625" style="35" customWidth="1"/>
    <col min="5" max="5" width="18.7109375" style="35" customWidth="1"/>
    <col min="6" max="6" width="18.28515625" style="35" customWidth="1"/>
    <col min="7" max="7" width="12.28515625" style="35" customWidth="1"/>
    <col min="8" max="10" width="15.28515625" style="35" customWidth="1"/>
    <col min="11" max="11" width="18.28515625" style="35" customWidth="1"/>
    <col min="12" max="12" width="13.28515625" style="35" customWidth="1"/>
    <col min="13" max="13" width="16" style="35" customWidth="1"/>
    <col min="14" max="14" width="12.42578125" style="35" customWidth="1"/>
    <col min="15" max="15" width="12.28515625" style="35" customWidth="1"/>
    <col min="16" max="16384" width="14.42578125" style="35"/>
  </cols>
  <sheetData>
    <row r="2" spans="2:35" ht="15.75" customHeight="1">
      <c r="B2" s="636" t="s">
        <v>514</v>
      </c>
      <c r="C2" s="404">
        <f>C31+M13+N19</f>
        <v>0</v>
      </c>
      <c r="D2" s="106" t="s">
        <v>8</v>
      </c>
    </row>
    <row r="4" spans="2:35" ht="15.75" customHeight="1" thickBot="1"/>
    <row r="5" spans="2:35" ht="15.75" customHeight="1" thickBot="1">
      <c r="B5" s="869" t="s">
        <v>515</v>
      </c>
      <c r="C5" s="870"/>
      <c r="D5" s="871"/>
      <c r="E5" s="39"/>
      <c r="F5" s="872" t="s">
        <v>516</v>
      </c>
      <c r="G5" s="873"/>
      <c r="H5" s="873"/>
      <c r="I5" s="873"/>
      <c r="J5" s="873"/>
      <c r="K5" s="873"/>
      <c r="L5" s="873"/>
      <c r="M5" s="873"/>
      <c r="N5" s="874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</row>
    <row r="6" spans="2:35" ht="15.6">
      <c r="B6" s="146" t="s">
        <v>259</v>
      </c>
      <c r="C6" s="147">
        <f>'Päästökertoimet ja muut'!C47</f>
        <v>25.92</v>
      </c>
      <c r="D6" s="148" t="s">
        <v>250</v>
      </c>
      <c r="E6" s="39"/>
      <c r="F6" s="218"/>
      <c r="G6" s="219" t="s">
        <v>517</v>
      </c>
      <c r="H6" s="219" t="s">
        <v>518</v>
      </c>
      <c r="I6" s="219" t="s">
        <v>519</v>
      </c>
      <c r="J6" s="219" t="s">
        <v>520</v>
      </c>
      <c r="K6" s="219" t="s">
        <v>521</v>
      </c>
      <c r="L6" s="219" t="s">
        <v>522</v>
      </c>
      <c r="M6" s="219" t="s">
        <v>385</v>
      </c>
      <c r="N6" s="220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</row>
    <row r="7" spans="2:35" ht="15.6">
      <c r="B7" s="104" t="s">
        <v>258</v>
      </c>
      <c r="C7" s="139">
        <f>'Päästökertoimet ja muut'!C46</f>
        <v>34.56</v>
      </c>
      <c r="D7" s="105" t="s">
        <v>250</v>
      </c>
      <c r="E7" s="39"/>
      <c r="F7" s="221"/>
      <c r="G7" s="87">
        <f>(F41+F42)*1000</f>
        <v>0</v>
      </c>
      <c r="H7" s="22">
        <f>C11*E53</f>
        <v>0</v>
      </c>
      <c r="I7" s="22">
        <f>C11*I53</f>
        <v>0</v>
      </c>
      <c r="J7" s="22"/>
      <c r="K7" s="22">
        <f>C9*G53+C10*H53</f>
        <v>0</v>
      </c>
      <c r="L7" s="84">
        <f>E46*1000</f>
        <v>0</v>
      </c>
      <c r="M7" s="84">
        <f>SUM(G7:L7)</f>
        <v>0</v>
      </c>
      <c r="N7" s="197" t="s">
        <v>386</v>
      </c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</row>
    <row r="8" spans="2:35" ht="16.149999999999999" thickBot="1">
      <c r="B8" s="104" t="s">
        <v>257</v>
      </c>
      <c r="C8" s="139">
        <f>'Päästökertoimet ja muut'!C45</f>
        <v>9.2799999999999994</v>
      </c>
      <c r="D8" s="105" t="s">
        <v>250</v>
      </c>
      <c r="E8" s="39"/>
      <c r="F8" s="222"/>
      <c r="G8" s="223">
        <f>G7/1000</f>
        <v>0</v>
      </c>
      <c r="H8" s="223">
        <f>H7/1000</f>
        <v>0</v>
      </c>
      <c r="I8" s="223">
        <f>I7/1000</f>
        <v>0</v>
      </c>
      <c r="J8" s="223"/>
      <c r="K8" s="223">
        <f>K7/1000</f>
        <v>0</v>
      </c>
      <c r="L8" s="223">
        <f>E46</f>
        <v>0</v>
      </c>
      <c r="M8" s="224">
        <f>SUM(G8:L8)</f>
        <v>0</v>
      </c>
      <c r="N8" s="225" t="s">
        <v>388</v>
      </c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</row>
    <row r="9" spans="2:35" ht="16.149999999999999" thickBot="1">
      <c r="B9" s="104" t="s">
        <v>523</v>
      </c>
      <c r="C9" s="139">
        <f>'Päästökertoimet ja muut'!C40</f>
        <v>53</v>
      </c>
      <c r="D9" s="105" t="s">
        <v>250</v>
      </c>
      <c r="E9" s="39"/>
      <c r="F9" s="875" t="s">
        <v>524</v>
      </c>
      <c r="G9" s="876"/>
      <c r="H9" s="876"/>
      <c r="I9" s="876"/>
      <c r="J9" s="876"/>
      <c r="K9" s="876"/>
      <c r="L9" s="876"/>
      <c r="M9" s="876"/>
      <c r="N9" s="877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</row>
    <row r="10" spans="2:35" ht="16.149999999999999" thickBot="1">
      <c r="B10" s="104" t="s">
        <v>525</v>
      </c>
      <c r="C10" s="139">
        <f>'Päästökertoimet ja muut'!C40</f>
        <v>53</v>
      </c>
      <c r="D10" s="105" t="s">
        <v>250</v>
      </c>
      <c r="E10" s="39"/>
      <c r="F10" s="226"/>
      <c r="G10" s="227" t="s">
        <v>517</v>
      </c>
      <c r="H10" s="227" t="s">
        <v>518</v>
      </c>
      <c r="I10" s="227" t="s">
        <v>519</v>
      </c>
      <c r="J10" s="227" t="s">
        <v>520</v>
      </c>
      <c r="K10" s="227" t="s">
        <v>521</v>
      </c>
      <c r="L10" s="227"/>
      <c r="M10" s="227" t="s">
        <v>385</v>
      </c>
      <c r="N10" s="228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</row>
    <row r="11" spans="2:35" ht="15.6">
      <c r="B11" s="104" t="s">
        <v>260</v>
      </c>
      <c r="C11" s="139">
        <f>'Päästökertoimet ja muut'!C49</f>
        <v>152</v>
      </c>
      <c r="D11" s="105" t="s">
        <v>380</v>
      </c>
      <c r="E11" s="37"/>
      <c r="F11" s="86"/>
      <c r="G11" s="85"/>
      <c r="H11" s="22">
        <f>C12*E53</f>
        <v>0</v>
      </c>
      <c r="I11" s="22">
        <f>C12*I53</f>
        <v>0</v>
      </c>
      <c r="J11" s="22">
        <f>C8*F53</f>
        <v>0</v>
      </c>
      <c r="K11" s="22">
        <f>C27*C28*G56</f>
        <v>0</v>
      </c>
      <c r="L11" s="22"/>
      <c r="M11" s="84">
        <f>SUM(G11:L11)</f>
        <v>0</v>
      </c>
      <c r="N11" s="21" t="s">
        <v>386</v>
      </c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</row>
    <row r="12" spans="2:35" ht="16.149999999999999" thickBot="1">
      <c r="B12" s="104" t="s">
        <v>261</v>
      </c>
      <c r="C12" s="139">
        <f>'Päästökertoimet ja muut'!C50</f>
        <v>39.159999999999997</v>
      </c>
      <c r="D12" s="105" t="s">
        <v>380</v>
      </c>
      <c r="E12" s="37"/>
      <c r="F12" s="83"/>
      <c r="G12" s="82"/>
      <c r="H12" s="20">
        <f>H11/1000</f>
        <v>0</v>
      </c>
      <c r="I12" s="20">
        <f>I11/1000</f>
        <v>0</v>
      </c>
      <c r="J12" s="20">
        <f>J11/1000</f>
        <v>0</v>
      </c>
      <c r="K12" s="20">
        <f>K11/1000</f>
        <v>0</v>
      </c>
      <c r="L12" s="20"/>
      <c r="M12" s="81">
        <f>SUM(G12:L12)</f>
        <v>0</v>
      </c>
      <c r="N12" s="19" t="s">
        <v>388</v>
      </c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</row>
    <row r="13" spans="2:35" ht="19.149999999999999" thickTop="1" thickBot="1">
      <c r="B13" s="140" t="s">
        <v>526</v>
      </c>
      <c r="C13" s="131">
        <v>2</v>
      </c>
      <c r="D13" s="141" t="s">
        <v>527</v>
      </c>
      <c r="E13" s="37"/>
      <c r="F13" s="80" t="s">
        <v>387</v>
      </c>
      <c r="G13" s="79">
        <f t="shared" ref="G13:L13" si="0">G8+G12</f>
        <v>0</v>
      </c>
      <c r="H13" s="79">
        <f t="shared" si="0"/>
        <v>0</v>
      </c>
      <c r="I13" s="79">
        <f t="shared" si="0"/>
        <v>0</v>
      </c>
      <c r="J13" s="79">
        <f t="shared" si="0"/>
        <v>0</v>
      </c>
      <c r="K13" s="79">
        <f t="shared" si="0"/>
        <v>0</v>
      </c>
      <c r="L13" s="79">
        <f t="shared" si="0"/>
        <v>0</v>
      </c>
      <c r="M13" s="79">
        <f>M8+M12</f>
        <v>0</v>
      </c>
      <c r="N13" s="78" t="s">
        <v>388</v>
      </c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</row>
    <row r="14" spans="2:35" s="71" customFormat="1" ht="13.9">
      <c r="B14" s="140" t="s">
        <v>528</v>
      </c>
      <c r="C14" s="131">
        <f>'Päästökertoimet ja muut'!C38</f>
        <v>125.16</v>
      </c>
      <c r="D14" s="141" t="s">
        <v>250</v>
      </c>
      <c r="E14" s="72"/>
    </row>
    <row r="15" spans="2:35" s="71" customFormat="1" ht="18">
      <c r="B15" s="104" t="str">
        <f>'Päästökertoimet ja muut'!B37</f>
        <v>Average hotel stay, 4 star hotel</v>
      </c>
      <c r="C15" s="103">
        <f>'Päästökertoimet ja muut'!C37</f>
        <v>15</v>
      </c>
      <c r="D15" s="105" t="str">
        <f>'Päästökertoimet ja muut'!F37</f>
        <v>kgCO2e/night</v>
      </c>
      <c r="E15" s="72"/>
      <c r="F15" s="72"/>
      <c r="G15" s="102"/>
      <c r="H15" s="102"/>
      <c r="I15" s="102"/>
      <c r="J15" s="102"/>
      <c r="K15" s="102"/>
      <c r="L15" s="102"/>
      <c r="M15" s="102"/>
      <c r="N15" s="73"/>
    </row>
    <row r="16" spans="2:35" s="71" customFormat="1" ht="18.600000000000001" thickBot="1">
      <c r="B16" s="140" t="s">
        <v>529</v>
      </c>
      <c r="C16" s="131">
        <f>'Päästökertoimet ja muut'!C39</f>
        <v>107.63</v>
      </c>
      <c r="D16" s="141" t="s">
        <v>250</v>
      </c>
      <c r="E16" s="72"/>
      <c r="G16" s="76"/>
      <c r="H16" s="76"/>
      <c r="I16" s="76"/>
      <c r="K16" s="75"/>
      <c r="L16" s="75"/>
      <c r="M16" s="74"/>
    </row>
    <row r="17" spans="2:16" s="71" customFormat="1" ht="16.149999999999999" thickBot="1">
      <c r="B17" s="140" t="s">
        <v>530</v>
      </c>
      <c r="C17" s="131">
        <f>'Päästökertoimet ja muut'!C88</f>
        <v>121.5</v>
      </c>
      <c r="D17" s="141" t="s">
        <v>250</v>
      </c>
      <c r="E17" s="72"/>
      <c r="F17" s="888" t="s">
        <v>531</v>
      </c>
      <c r="G17" s="889"/>
      <c r="H17" s="889"/>
      <c r="I17" s="889"/>
      <c r="J17" s="889"/>
      <c r="K17" s="889"/>
      <c r="L17" s="889"/>
      <c r="M17" s="889"/>
      <c r="N17" s="889"/>
      <c r="O17" s="890"/>
    </row>
    <row r="18" spans="2:16" s="71" customFormat="1" ht="16.149999999999999" thickBot="1">
      <c r="B18" s="140" t="str">
        <f>'Päästökertoimet ja muut'!B89</f>
        <v>Average hotel stay, 2 star hotel</v>
      </c>
      <c r="C18" s="145">
        <f>'Päästökertoimet ja muut'!C89</f>
        <v>5</v>
      </c>
      <c r="D18" s="141" t="str">
        <f>'Päästökertoimet ja muut'!F89</f>
        <v>kgCO2e/night</v>
      </c>
      <c r="E18" s="72"/>
      <c r="F18" s="234"/>
      <c r="G18" s="235" t="s">
        <v>517</v>
      </c>
      <c r="H18" s="235" t="s">
        <v>518</v>
      </c>
      <c r="I18" s="235" t="s">
        <v>519</v>
      </c>
      <c r="J18" s="235" t="s">
        <v>520</v>
      </c>
      <c r="K18" s="235" t="s">
        <v>521</v>
      </c>
      <c r="L18" s="236" t="s">
        <v>522</v>
      </c>
      <c r="M18" s="236" t="s">
        <v>532</v>
      </c>
      <c r="N18" s="235" t="s">
        <v>385</v>
      </c>
      <c r="O18" s="237"/>
    </row>
    <row r="19" spans="2:16" s="71" customFormat="1" ht="16.149999999999999" thickBot="1">
      <c r="B19" s="140" t="str">
        <f>'Päästökertoimet ja muut'!B90</f>
        <v>Lennot</v>
      </c>
      <c r="C19" s="144">
        <f>'Päästökertoimet ja muut'!C90</f>
        <v>1.1000000000000001</v>
      </c>
      <c r="D19" s="141" t="str">
        <f>'Päästökertoimet ja muut'!F90</f>
        <v>kgCO2e/€</v>
      </c>
      <c r="E19" s="72"/>
      <c r="F19" s="229"/>
      <c r="G19" s="230">
        <f>Laskenta!F147*Tausta_Liikematkat!C19+Laskenta!F148*Tausta_Liikematkat!C19</f>
        <v>0</v>
      </c>
      <c r="H19" s="231">
        <f>Laskenta!F149*Tausta_Liikematkat!C26</f>
        <v>0</v>
      </c>
      <c r="I19" s="231">
        <f>Laskenta!F153*Tausta_Liikematkat!C24</f>
        <v>0</v>
      </c>
      <c r="J19" s="231">
        <f>Laskenta!F150*Tausta_Liikematkat!C20</f>
        <v>0</v>
      </c>
      <c r="K19" s="231">
        <f>Laskenta!F151*Tausta_Liikematkat!C21</f>
        <v>0</v>
      </c>
      <c r="L19" s="231">
        <f>Laskenta!F154*Tausta_Liikematkat!C25</f>
        <v>0</v>
      </c>
      <c r="M19" s="231">
        <f>Laskenta!F152*Tausta_Liikematkat!C23</f>
        <v>0</v>
      </c>
      <c r="N19" s="232">
        <f>SUM(G19:M19)</f>
        <v>0</v>
      </c>
      <c r="O19" s="233" t="s">
        <v>388</v>
      </c>
    </row>
    <row r="20" spans="2:16" s="71" customFormat="1" ht="13.9">
      <c r="B20" s="140" t="str">
        <f>'Päästökertoimet ja muut'!B91</f>
        <v>Liikematkat junalla</v>
      </c>
      <c r="C20" s="144">
        <f>'Päästökertoimet ja muut'!C91</f>
        <v>0.6</v>
      </c>
      <c r="D20" s="141" t="str">
        <f>'Päästökertoimet ja muut'!F91</f>
        <v>kgCO2e/€</v>
      </c>
      <c r="E20" s="72"/>
    </row>
    <row r="21" spans="2:16" s="71" customFormat="1" ht="18">
      <c r="B21" s="140" t="str">
        <f>'Päästökertoimet ja muut'!B92</f>
        <v>Liikematkat bussilla</v>
      </c>
      <c r="C21" s="144">
        <f>'Päästökertoimet ja muut'!C92</f>
        <v>0.7</v>
      </c>
      <c r="D21" s="141" t="str">
        <f>'Päästökertoimet ja muut'!F92</f>
        <v>kgCO2e/€</v>
      </c>
      <c r="E21" s="72"/>
      <c r="G21" s="76"/>
      <c r="H21" s="76"/>
      <c r="I21" s="76"/>
      <c r="K21" s="75"/>
      <c r="L21" s="75"/>
      <c r="M21" s="74"/>
    </row>
    <row r="22" spans="2:16" s="71" customFormat="1" ht="18">
      <c r="B22" s="140" t="str">
        <f>'Päästökertoimet ja muut'!B93</f>
        <v xml:space="preserve">Hostelliyöpymisten määrä </v>
      </c>
      <c r="C22" s="144">
        <f>'Päästökertoimet ja muut'!C93</f>
        <v>0.4</v>
      </c>
      <c r="D22" s="141" t="str">
        <f>'Päästökertoimet ja muut'!F93</f>
        <v>kgCO2e/€</v>
      </c>
      <c r="E22" s="72"/>
      <c r="G22" s="76"/>
      <c r="H22" s="76"/>
      <c r="I22" s="76"/>
      <c r="K22" s="75"/>
      <c r="L22" s="75"/>
      <c r="M22" s="74"/>
      <c r="N22" s="73"/>
    </row>
    <row r="23" spans="2:16" s="71" customFormat="1" ht="18">
      <c r="B23" s="140" t="str">
        <f>'Päästökertoimet ja muut'!B94</f>
        <v>Hotelliyöpymisten määrä</v>
      </c>
      <c r="C23" s="144">
        <f>'Päästökertoimet ja muut'!C94</f>
        <v>0.4</v>
      </c>
      <c r="D23" s="141" t="str">
        <f>'Päästökertoimet ja muut'!F94</f>
        <v>kgCO2e/€</v>
      </c>
      <c r="E23" s="72"/>
      <c r="G23" s="76"/>
      <c r="H23" s="76"/>
      <c r="I23" s="76"/>
      <c r="K23" s="75"/>
      <c r="L23" s="75"/>
      <c r="M23" s="74"/>
      <c r="N23" s="73"/>
    </row>
    <row r="24" spans="2:16" s="71" customFormat="1" ht="18">
      <c r="B24" s="140" t="str">
        <f>'Päästökertoimet ja muut'!B95</f>
        <v>Taksimatkat</v>
      </c>
      <c r="C24" s="144">
        <f>'Päästökertoimet ja muut'!C95</f>
        <v>0.2</v>
      </c>
      <c r="D24" s="141" t="str">
        <f>'Päästökertoimet ja muut'!F95</f>
        <v>kgCO2e/€</v>
      </c>
      <c r="E24" s="72"/>
      <c r="G24" s="76"/>
      <c r="H24" s="76"/>
      <c r="I24" s="76"/>
      <c r="K24" s="75"/>
      <c r="L24" s="75"/>
      <c r="M24" s="74"/>
      <c r="N24" s="73"/>
    </row>
    <row r="25" spans="2:16" s="71" customFormat="1" ht="18">
      <c r="B25" s="140" t="str">
        <f>'Päästökertoimet ja muut'!B96</f>
        <v>Laivamatkat</v>
      </c>
      <c r="C25" s="144">
        <f>'Päästökertoimet ja muut'!C96</f>
        <v>1</v>
      </c>
      <c r="D25" s="141" t="str">
        <f>'Päästökertoimet ja muut'!F96</f>
        <v>kgCO2e/€</v>
      </c>
      <c r="E25" s="72"/>
      <c r="G25" s="76"/>
      <c r="H25" s="76"/>
      <c r="I25" s="76"/>
      <c r="K25" s="75"/>
      <c r="L25" s="75"/>
      <c r="M25" s="74"/>
      <c r="N25" s="73"/>
    </row>
    <row r="26" spans="2:16" s="71" customFormat="1" ht="18">
      <c r="B26" s="140" t="str">
        <f>'Päästökertoimet ja muut'!B98</f>
        <v>Auto</v>
      </c>
      <c r="C26" s="144">
        <f>'Päästökertoimet ja muut'!C98</f>
        <v>0.2</v>
      </c>
      <c r="D26" s="141" t="str">
        <f>'Päästökertoimet ja muut'!F98</f>
        <v>kgCO2e/€</v>
      </c>
      <c r="E26" s="72"/>
      <c r="F26" s="76"/>
      <c r="G26" s="76"/>
      <c r="J26" s="75"/>
      <c r="K26" s="75"/>
      <c r="L26" s="74"/>
      <c r="M26" s="73"/>
      <c r="N26" s="72"/>
      <c r="O26" s="72"/>
      <c r="P26" s="72"/>
    </row>
    <row r="27" spans="2:16" s="71" customFormat="1" ht="18">
      <c r="B27" s="140" t="str">
        <f>'Päästökertoimet ja muut'!B51</f>
        <v>Diesel manufacturing and distributing</v>
      </c>
      <c r="C27" s="144">
        <f>'Päästökertoimet ja muut'!C51</f>
        <v>17.399999999999999</v>
      </c>
      <c r="D27" s="141" t="str">
        <f>'Päästökertoimet ja muut'!F51</f>
        <v>g CO₂e/MJ</v>
      </c>
      <c r="E27" s="72"/>
      <c r="F27" s="76"/>
      <c r="G27" s="76"/>
      <c r="J27" s="75"/>
      <c r="K27" s="75"/>
      <c r="L27" s="74"/>
      <c r="M27" s="73"/>
      <c r="N27" s="72"/>
      <c r="O27" s="72"/>
      <c r="P27" s="72"/>
    </row>
    <row r="28" spans="2:16" s="71" customFormat="1" ht="18.600000000000001" thickBot="1">
      <c r="B28" s="132" t="str">
        <f>'Päästökertoimet ja muut'!B99</f>
        <v>city bus energy consumption</v>
      </c>
      <c r="C28" s="149">
        <f>'Päästökertoimet ja muut'!C99</f>
        <v>0.79</v>
      </c>
      <c r="D28" s="133" t="str">
        <f>'Päästökertoimet ja muut'!F99</f>
        <v>MJ/hkm</v>
      </c>
      <c r="E28" s="72"/>
      <c r="F28" s="76"/>
      <c r="G28" s="76"/>
      <c r="J28" s="75"/>
      <c r="K28" s="75"/>
      <c r="L28" s="74"/>
      <c r="M28" s="73"/>
      <c r="N28" s="72"/>
      <c r="O28" s="72"/>
      <c r="P28" s="72"/>
    </row>
    <row r="29" spans="2:16" s="71" customFormat="1" ht="18.600000000000001" thickBot="1">
      <c r="B29" s="37"/>
      <c r="C29" s="130"/>
      <c r="D29" s="130"/>
      <c r="E29" s="72"/>
      <c r="F29" s="76"/>
      <c r="G29" s="76"/>
      <c r="J29" s="75"/>
      <c r="K29" s="75"/>
      <c r="L29" s="74"/>
      <c r="M29" s="73"/>
      <c r="N29" s="72"/>
      <c r="O29" s="72"/>
      <c r="P29" s="72"/>
    </row>
    <row r="30" spans="2:16" s="71" customFormat="1" ht="18.600000000000001" thickBot="1">
      <c r="B30" s="879" t="s">
        <v>533</v>
      </c>
      <c r="C30" s="880"/>
      <c r="D30" s="881"/>
      <c r="E30" s="72"/>
      <c r="F30" s="76"/>
      <c r="G30" s="76"/>
      <c r="J30" s="75"/>
      <c r="K30" s="75"/>
      <c r="L30" s="74"/>
      <c r="M30" s="73"/>
      <c r="N30" s="72"/>
      <c r="O30" s="72"/>
      <c r="P30" s="72"/>
    </row>
    <row r="31" spans="2:16" s="71" customFormat="1" ht="18.600000000000001" thickBot="1">
      <c r="B31" s="364" t="s">
        <v>534</v>
      </c>
      <c r="C31" s="365">
        <f>Laskenta!D152*Tausta_Liikematkat!C15</f>
        <v>0</v>
      </c>
      <c r="D31" s="366" t="s">
        <v>8</v>
      </c>
      <c r="E31" s="72"/>
      <c r="F31" s="76"/>
      <c r="G31" s="76"/>
      <c r="J31" s="75"/>
      <c r="K31" s="75"/>
      <c r="L31" s="74"/>
      <c r="M31" s="73"/>
      <c r="N31" s="72"/>
      <c r="O31" s="72"/>
      <c r="P31" s="72"/>
    </row>
    <row r="32" spans="2:16" s="71" customFormat="1" ht="18.600000000000001" thickBot="1">
      <c r="B32" s="77"/>
      <c r="C32" s="77"/>
      <c r="D32" s="72"/>
      <c r="E32" s="72"/>
      <c r="F32" s="76"/>
      <c r="G32" s="76"/>
      <c r="J32" s="75"/>
      <c r="K32" s="75"/>
      <c r="L32" s="74"/>
      <c r="M32" s="73"/>
      <c r="N32" s="72"/>
      <c r="O32" s="72"/>
      <c r="P32" s="72"/>
    </row>
    <row r="33" spans="2:16" s="71" customFormat="1" ht="18">
      <c r="B33" s="882" t="s">
        <v>535</v>
      </c>
      <c r="C33" s="883"/>
      <c r="D33" s="884"/>
      <c r="E33" s="72"/>
      <c r="F33" s="76"/>
      <c r="G33" s="76"/>
      <c r="J33" s="75"/>
      <c r="K33" s="75"/>
      <c r="L33" s="74"/>
      <c r="M33" s="73"/>
      <c r="N33" s="72"/>
      <c r="O33" s="72"/>
      <c r="P33" s="72"/>
    </row>
    <row r="34" spans="2:16" s="71" customFormat="1" ht="18">
      <c r="B34" s="151" t="s">
        <v>536</v>
      </c>
      <c r="C34" s="150">
        <v>500</v>
      </c>
      <c r="D34" s="152" t="s">
        <v>85</v>
      </c>
      <c r="E34" s="72"/>
      <c r="F34" s="76"/>
      <c r="G34" s="76"/>
      <c r="J34" s="75"/>
      <c r="K34" s="75"/>
      <c r="L34" s="74"/>
      <c r="M34" s="73"/>
      <c r="N34" s="72"/>
      <c r="O34" s="72"/>
      <c r="P34" s="72"/>
    </row>
    <row r="35" spans="2:16" s="71" customFormat="1" ht="18">
      <c r="B35" s="151" t="s">
        <v>537</v>
      </c>
      <c r="C35" s="150">
        <v>2000</v>
      </c>
      <c r="D35" s="152" t="s">
        <v>85</v>
      </c>
      <c r="E35" s="72"/>
      <c r="F35" s="76"/>
      <c r="G35" s="76"/>
      <c r="J35" s="75"/>
      <c r="K35" s="75"/>
      <c r="L35" s="74"/>
      <c r="M35" s="73"/>
      <c r="N35" s="72"/>
      <c r="O35" s="72"/>
      <c r="P35" s="72"/>
    </row>
    <row r="36" spans="2:16" s="71" customFormat="1" ht="13.9">
      <c r="B36" s="151" t="s">
        <v>538</v>
      </c>
      <c r="C36" s="150">
        <v>500</v>
      </c>
      <c r="D36" s="152" t="s">
        <v>85</v>
      </c>
      <c r="E36" s="72"/>
      <c r="F36" s="35"/>
      <c r="G36" s="35"/>
      <c r="H36" s="35"/>
      <c r="I36" s="35"/>
      <c r="J36" s="35"/>
      <c r="K36" s="35"/>
      <c r="L36" s="47"/>
      <c r="M36" s="35"/>
      <c r="N36" s="66"/>
      <c r="O36" s="66"/>
      <c r="P36" s="66"/>
    </row>
    <row r="37" spans="2:16" s="71" customFormat="1" ht="14.45" thickBot="1">
      <c r="B37" s="153" t="s">
        <v>539</v>
      </c>
      <c r="C37" s="154">
        <v>15</v>
      </c>
      <c r="D37" s="155" t="s">
        <v>85</v>
      </c>
      <c r="E37" s="72"/>
      <c r="G37" s="66"/>
      <c r="H37" s="66"/>
      <c r="I37" s="66"/>
      <c r="J37" s="66"/>
      <c r="K37" s="66"/>
      <c r="L37" s="66"/>
      <c r="M37" s="66"/>
      <c r="N37" s="66"/>
      <c r="O37" s="66"/>
      <c r="P37" s="66"/>
    </row>
    <row r="38" spans="2:16" ht="14.45" thickBot="1">
      <c r="B38" s="39"/>
      <c r="C38" s="39"/>
      <c r="D38" s="66"/>
      <c r="E38" s="66"/>
      <c r="G38" s="66"/>
      <c r="H38" s="66"/>
      <c r="I38" s="66"/>
      <c r="J38" s="66"/>
      <c r="K38" s="66"/>
      <c r="L38" s="66"/>
      <c r="M38" s="66"/>
      <c r="N38" s="66"/>
      <c r="O38" s="66"/>
      <c r="P38" s="66"/>
    </row>
    <row r="39" spans="2:16" ht="16.149999999999999" customHeight="1" thickBot="1">
      <c r="B39" s="885" t="s">
        <v>517</v>
      </c>
      <c r="C39" s="886"/>
      <c r="D39" s="886"/>
      <c r="E39" s="886"/>
      <c r="F39" s="887"/>
      <c r="G39" s="66"/>
      <c r="H39" s="66"/>
      <c r="I39" s="66"/>
      <c r="J39" s="66"/>
      <c r="K39" s="66"/>
      <c r="L39" s="66"/>
      <c r="M39" s="66"/>
      <c r="N39" s="66"/>
      <c r="O39" s="66"/>
      <c r="P39" s="66"/>
    </row>
    <row r="40" spans="2:16" ht="28.15" thickBot="1">
      <c r="B40" s="238" t="s">
        <v>540</v>
      </c>
      <c r="C40" s="239" t="s">
        <v>541</v>
      </c>
      <c r="D40" s="240" t="s">
        <v>542</v>
      </c>
      <c r="E40" s="240" t="s">
        <v>543</v>
      </c>
      <c r="F40" s="241" t="s">
        <v>544</v>
      </c>
      <c r="G40" s="66"/>
      <c r="H40" s="66"/>
      <c r="I40" s="66"/>
      <c r="J40" s="66"/>
      <c r="K40" s="66"/>
      <c r="L40" s="66"/>
      <c r="M40" s="66"/>
      <c r="N40" s="66"/>
      <c r="O40" s="66"/>
      <c r="P40" s="66"/>
    </row>
    <row r="41" spans="2:16" ht="13.9">
      <c r="B41" s="242" t="s">
        <v>545</v>
      </c>
      <c r="C41" s="243">
        <f>Laskenta!D147*Tausta_Liikematkat!C34</f>
        <v>0</v>
      </c>
      <c r="D41" s="244">
        <f>C14/1000</f>
        <v>0.12515999999999999</v>
      </c>
      <c r="E41" s="245">
        <f>C13</f>
        <v>2</v>
      </c>
      <c r="F41" s="246">
        <f>C41*D41*E41</f>
        <v>0</v>
      </c>
      <c r="G41" s="66"/>
      <c r="H41" s="66"/>
      <c r="I41" s="66"/>
      <c r="J41" s="66"/>
      <c r="K41" s="66"/>
      <c r="L41" s="66"/>
      <c r="M41" s="66"/>
      <c r="N41" s="66"/>
      <c r="O41" s="66"/>
      <c r="P41" s="66"/>
    </row>
    <row r="42" spans="2:16" ht="14.45" thickBot="1">
      <c r="B42" s="247" t="s">
        <v>546</v>
      </c>
      <c r="C42" s="248">
        <f>Laskenta!D148*Tausta_Liikematkat!C35</f>
        <v>0</v>
      </c>
      <c r="D42" s="249">
        <f>C16/1000</f>
        <v>0.10762999999999999</v>
      </c>
      <c r="E42" s="250">
        <f>C13</f>
        <v>2</v>
      </c>
      <c r="F42" s="251">
        <f>C42*D42*E42</f>
        <v>0</v>
      </c>
      <c r="G42" s="66"/>
      <c r="H42" s="66"/>
      <c r="I42" s="66"/>
      <c r="J42" s="66"/>
      <c r="K42" s="66"/>
      <c r="L42" s="66"/>
      <c r="M42" s="66"/>
      <c r="N42" s="66"/>
      <c r="O42" s="66"/>
      <c r="P42" s="66"/>
    </row>
    <row r="43" spans="2:16" ht="14.45" thickBot="1">
      <c r="B43" s="39"/>
      <c r="C43" s="39"/>
      <c r="D43" s="70"/>
      <c r="E43" s="69"/>
      <c r="F43" s="68"/>
      <c r="G43" s="66"/>
      <c r="H43" s="66"/>
      <c r="I43" s="66"/>
      <c r="J43" s="66"/>
      <c r="K43" s="66"/>
      <c r="L43" s="66"/>
      <c r="M43" s="66"/>
      <c r="N43" s="66"/>
      <c r="O43" s="66"/>
      <c r="P43" s="66"/>
    </row>
    <row r="44" spans="2:16" ht="14.45" thickBot="1">
      <c r="B44" s="864" t="s">
        <v>522</v>
      </c>
      <c r="C44" s="878"/>
      <c r="D44" s="878"/>
      <c r="E44" s="865"/>
      <c r="F44" s="68"/>
      <c r="G44" s="66"/>
      <c r="H44" s="66"/>
      <c r="I44" s="66"/>
      <c r="J44" s="66"/>
      <c r="K44" s="66"/>
      <c r="L44" s="66"/>
      <c r="M44" s="66"/>
      <c r="N44" s="66"/>
      <c r="O44" s="66"/>
      <c r="P44" s="66"/>
    </row>
    <row r="45" spans="2:16" ht="21" customHeight="1">
      <c r="B45" s="252" t="s">
        <v>540</v>
      </c>
      <c r="C45" s="253" t="s">
        <v>541</v>
      </c>
      <c r="D45" s="254" t="s">
        <v>547</v>
      </c>
      <c r="E45" s="255" t="s">
        <v>544</v>
      </c>
      <c r="F45" s="68"/>
      <c r="G45" s="66"/>
      <c r="H45" s="66"/>
      <c r="I45" s="66"/>
      <c r="J45" s="66"/>
      <c r="K45" s="66"/>
      <c r="L45" s="66"/>
      <c r="M45" s="66"/>
      <c r="N45" s="66"/>
      <c r="O45" s="66"/>
      <c r="P45" s="66"/>
    </row>
    <row r="46" spans="2:16" ht="14.45" thickBot="1">
      <c r="B46" s="256" t="s">
        <v>522</v>
      </c>
      <c r="C46" s="257">
        <f>Laskenta!D154*Tausta_Liikematkat!C36</f>
        <v>0</v>
      </c>
      <c r="D46" s="258">
        <f>C17/1000</f>
        <v>0.1215</v>
      </c>
      <c r="E46" s="259">
        <f>C46*D46</f>
        <v>0</v>
      </c>
      <c r="F46" s="68"/>
      <c r="G46" s="66"/>
      <c r="H46" s="66"/>
      <c r="I46" s="66"/>
      <c r="J46" s="66"/>
      <c r="K46" s="66"/>
      <c r="L46" s="66"/>
      <c r="M46" s="66"/>
      <c r="N46" s="66"/>
      <c r="O46" s="66"/>
      <c r="P46" s="66"/>
    </row>
    <row r="47" spans="2:16" ht="13.9">
      <c r="B47" s="134"/>
      <c r="C47" s="135"/>
      <c r="D47" s="136"/>
      <c r="E47" s="136"/>
      <c r="F47" s="68"/>
      <c r="G47" s="66"/>
      <c r="H47" s="66"/>
      <c r="I47" s="66"/>
      <c r="J47" s="66"/>
      <c r="K47" s="66"/>
      <c r="L47" s="66"/>
      <c r="M47" s="66"/>
      <c r="N47" s="66"/>
      <c r="O47" s="66"/>
      <c r="P47" s="66"/>
    </row>
    <row r="48" spans="2:16" ht="13.9">
      <c r="B48" s="134"/>
      <c r="C48" s="135"/>
      <c r="D48" s="136"/>
      <c r="E48" s="136"/>
      <c r="F48" s="68"/>
      <c r="G48" s="66"/>
      <c r="H48" s="66"/>
      <c r="I48" s="66"/>
      <c r="J48" s="66"/>
      <c r="K48" s="66"/>
      <c r="L48" s="66"/>
      <c r="M48" s="66"/>
      <c r="N48" s="66"/>
      <c r="O48" s="66"/>
      <c r="P48" s="66"/>
    </row>
    <row r="49" spans="2:16" ht="13.9">
      <c r="B49" s="134"/>
      <c r="C49" s="135"/>
      <c r="D49" s="136"/>
      <c r="E49" s="136"/>
      <c r="K49" s="67"/>
      <c r="L49" s="66"/>
      <c r="M49" s="66"/>
      <c r="N49" s="66"/>
      <c r="O49" s="66"/>
      <c r="P49" s="66"/>
    </row>
    <row r="50" spans="2:16" ht="28.15" thickBot="1">
      <c r="B50" s="39"/>
      <c r="C50" s="39"/>
      <c r="D50" s="70"/>
      <c r="E50" s="69"/>
      <c r="K50" s="65" t="s">
        <v>548</v>
      </c>
      <c r="L50" s="65" t="s">
        <v>549</v>
      </c>
    </row>
    <row r="51" spans="2:16" ht="16.149999999999999" customHeight="1" thickBot="1">
      <c r="B51" s="866" t="s">
        <v>550</v>
      </c>
      <c r="C51" s="867"/>
      <c r="D51" s="867"/>
      <c r="E51" s="867"/>
      <c r="F51" s="867"/>
      <c r="G51" s="867"/>
      <c r="H51" s="867"/>
      <c r="I51" s="867"/>
      <c r="J51" s="868"/>
      <c r="K51" s="64">
        <f t="shared" ref="C51:L53" si="1">SUM(K52:K71)</f>
        <v>0</v>
      </c>
      <c r="L51" s="64">
        <f t="shared" si="1"/>
        <v>0</v>
      </c>
    </row>
    <row r="52" spans="2:16" ht="28.15" thickBot="1">
      <c r="B52" s="260" t="s">
        <v>540</v>
      </c>
      <c r="C52" s="261" t="s">
        <v>551</v>
      </c>
      <c r="D52" s="261" t="s">
        <v>552</v>
      </c>
      <c r="E52" s="261" t="s">
        <v>553</v>
      </c>
      <c r="F52" s="261" t="s">
        <v>554</v>
      </c>
      <c r="G52" s="261" t="s">
        <v>555</v>
      </c>
      <c r="H52" s="261" t="s">
        <v>556</v>
      </c>
      <c r="I52" s="262" t="s">
        <v>557</v>
      </c>
      <c r="J52" s="263" t="s">
        <v>549</v>
      </c>
      <c r="K52" s="38"/>
    </row>
    <row r="53" spans="2:16" ht="14.45" thickBot="1">
      <c r="B53" s="271" t="s">
        <v>387</v>
      </c>
      <c r="C53" s="272">
        <f t="shared" si="1"/>
        <v>0</v>
      </c>
      <c r="D53" s="272">
        <f t="shared" si="1"/>
        <v>0</v>
      </c>
      <c r="E53" s="272">
        <f>SUM(E54:E73)</f>
        <v>0</v>
      </c>
      <c r="F53" s="272">
        <f>SUM(F54:F73)</f>
        <v>0</v>
      </c>
      <c r="G53" s="272">
        <f>SUM(G54:G73)</f>
        <v>0</v>
      </c>
      <c r="H53" s="272">
        <f>SUM(H54:H73)</f>
        <v>0</v>
      </c>
      <c r="I53" s="273">
        <f>SUM(I54:I61)</f>
        <v>0</v>
      </c>
      <c r="J53" s="274">
        <f>SUM(J54:J73)</f>
        <v>0</v>
      </c>
      <c r="K53" s="38"/>
    </row>
    <row r="54" spans="2:16" ht="13.9">
      <c r="B54" s="264" t="s">
        <v>518</v>
      </c>
      <c r="C54" s="265"/>
      <c r="D54" s="266"/>
      <c r="E54" s="60">
        <f>Laskenta!D149</f>
        <v>0</v>
      </c>
      <c r="F54" s="267"/>
      <c r="G54" s="268"/>
      <c r="H54" s="266"/>
      <c r="I54" s="269"/>
      <c r="J54" s="270"/>
      <c r="K54" s="38"/>
    </row>
    <row r="55" spans="2:16" ht="13.9">
      <c r="B55" s="63" t="s">
        <v>520</v>
      </c>
      <c r="C55" s="62"/>
      <c r="D55" s="57"/>
      <c r="E55" s="60"/>
      <c r="F55" s="59">
        <f>Laskenta!D150</f>
        <v>0</v>
      </c>
      <c r="G55" s="58"/>
      <c r="H55" s="57"/>
      <c r="I55" s="137"/>
      <c r="J55" s="157"/>
      <c r="K55" s="38"/>
    </row>
    <row r="56" spans="2:16" ht="13.9">
      <c r="B56" s="63" t="s">
        <v>558</v>
      </c>
      <c r="C56" s="62"/>
      <c r="D56" s="57"/>
      <c r="E56" s="60"/>
      <c r="F56" s="59"/>
      <c r="G56" s="58">
        <f>Laskenta!D151</f>
        <v>0</v>
      </c>
      <c r="H56" s="57"/>
      <c r="I56" s="137"/>
      <c r="J56" s="157"/>
      <c r="K56" s="38"/>
    </row>
    <row r="57" spans="2:16" ht="13.9">
      <c r="B57" s="63" t="s">
        <v>559</v>
      </c>
      <c r="C57" s="62"/>
      <c r="D57" s="57"/>
      <c r="E57" s="60"/>
      <c r="F57" s="59"/>
      <c r="G57" s="58"/>
      <c r="H57" s="57"/>
      <c r="I57" s="137"/>
      <c r="J57" s="157"/>
      <c r="K57" s="38"/>
    </row>
    <row r="58" spans="2:16" ht="13.9">
      <c r="B58" s="63" t="s">
        <v>519</v>
      </c>
      <c r="C58" s="62"/>
      <c r="D58" s="57"/>
      <c r="E58" s="60"/>
      <c r="F58" s="59"/>
      <c r="G58" s="58"/>
      <c r="H58" s="57"/>
      <c r="I58" s="137">
        <f>Laskenta!D153*Tausta_Liikematkat!C37</f>
        <v>0</v>
      </c>
      <c r="J58" s="157"/>
      <c r="K58" s="38"/>
    </row>
    <row r="59" spans="2:16" ht="13.9">
      <c r="B59" s="63"/>
      <c r="C59" s="62"/>
      <c r="D59" s="57"/>
      <c r="E59" s="60"/>
      <c r="F59" s="59"/>
      <c r="G59" s="58"/>
      <c r="H59" s="57"/>
      <c r="I59" s="137"/>
      <c r="J59" s="157"/>
      <c r="K59" s="38"/>
    </row>
    <row r="60" spans="2:16" ht="13.9">
      <c r="B60" s="63"/>
      <c r="C60" s="62"/>
      <c r="D60" s="57"/>
      <c r="E60" s="60"/>
      <c r="F60" s="59"/>
      <c r="G60" s="58"/>
      <c r="H60" s="57"/>
      <c r="I60" s="137"/>
      <c r="J60" s="157"/>
      <c r="K60" s="38"/>
    </row>
    <row r="61" spans="2:16" ht="13.9">
      <c r="B61" s="63"/>
      <c r="C61" s="62"/>
      <c r="D61" s="57"/>
      <c r="E61" s="60"/>
      <c r="F61" s="59"/>
      <c r="G61" s="58"/>
      <c r="H61" s="57"/>
      <c r="I61" s="137"/>
      <c r="J61" s="157"/>
      <c r="K61" s="38"/>
    </row>
    <row r="62" spans="2:16" ht="13.9">
      <c r="B62" s="63"/>
      <c r="C62" s="62"/>
      <c r="D62" s="57"/>
      <c r="E62" s="60"/>
      <c r="F62" s="59"/>
      <c r="G62" s="58"/>
      <c r="H62" s="57"/>
      <c r="I62" s="137"/>
      <c r="J62" s="157"/>
      <c r="K62" s="38"/>
    </row>
    <row r="63" spans="2:16" ht="13.9">
      <c r="B63" s="63"/>
      <c r="C63" s="62"/>
      <c r="D63" s="57"/>
      <c r="E63" s="60"/>
      <c r="F63" s="59"/>
      <c r="G63" s="58"/>
      <c r="H63" s="57"/>
      <c r="I63" s="137"/>
      <c r="J63" s="157"/>
      <c r="K63" s="38"/>
    </row>
    <row r="64" spans="2:16" ht="13.9">
      <c r="B64" s="63"/>
      <c r="C64" s="62"/>
      <c r="D64" s="57"/>
      <c r="E64" s="60"/>
      <c r="F64" s="59"/>
      <c r="G64" s="58"/>
      <c r="H64" s="57"/>
      <c r="I64" s="137"/>
      <c r="J64" s="157"/>
      <c r="K64" s="38"/>
    </row>
    <row r="65" spans="2:35" ht="13.9">
      <c r="B65" s="63"/>
      <c r="C65" s="62"/>
      <c r="D65" s="57"/>
      <c r="E65" s="60"/>
      <c r="F65" s="59"/>
      <c r="G65" s="58"/>
      <c r="H65" s="57"/>
      <c r="I65" s="137"/>
      <c r="J65" s="157"/>
      <c r="K65" s="38"/>
    </row>
    <row r="66" spans="2:35" ht="13.9">
      <c r="B66" s="63"/>
      <c r="C66" s="62"/>
      <c r="D66" s="57"/>
      <c r="E66" s="60"/>
      <c r="F66" s="59"/>
      <c r="G66" s="58"/>
      <c r="H66" s="57"/>
      <c r="I66" s="137"/>
      <c r="J66" s="157"/>
      <c r="K66" s="38"/>
    </row>
    <row r="67" spans="2:35" ht="13.9">
      <c r="B67" s="63"/>
      <c r="C67" s="62"/>
      <c r="D67" s="57"/>
      <c r="E67" s="60"/>
      <c r="F67" s="59"/>
      <c r="G67" s="58"/>
      <c r="H67" s="57"/>
      <c r="I67" s="137"/>
      <c r="J67" s="157"/>
      <c r="K67" s="38"/>
    </row>
    <row r="68" spans="2:35" ht="13.9">
      <c r="B68" s="63"/>
      <c r="C68" s="62"/>
      <c r="D68" s="57"/>
      <c r="E68" s="60"/>
      <c r="F68" s="59"/>
      <c r="G68" s="58"/>
      <c r="H68" s="57"/>
      <c r="I68" s="137"/>
      <c r="J68" s="157"/>
      <c r="K68" s="38"/>
    </row>
    <row r="69" spans="2:35" ht="13.9">
      <c r="B69" s="63"/>
      <c r="C69" s="62"/>
      <c r="D69" s="57"/>
      <c r="E69" s="60"/>
      <c r="F69" s="59"/>
      <c r="G69" s="58"/>
      <c r="H69" s="57"/>
      <c r="I69" s="137"/>
      <c r="J69" s="157"/>
      <c r="K69" s="38"/>
    </row>
    <row r="70" spans="2:35" ht="13.9">
      <c r="B70" s="63"/>
      <c r="C70" s="62"/>
      <c r="D70" s="57"/>
      <c r="E70" s="60"/>
      <c r="F70" s="59"/>
      <c r="G70" s="58"/>
      <c r="H70" s="57"/>
      <c r="I70" s="137"/>
      <c r="J70" s="157"/>
    </row>
    <row r="71" spans="2:35" ht="13.9">
      <c r="B71" s="63"/>
      <c r="C71" s="62"/>
      <c r="D71" s="57"/>
      <c r="E71" s="60"/>
      <c r="F71" s="59"/>
      <c r="G71" s="58"/>
      <c r="H71" s="57"/>
      <c r="I71" s="137"/>
      <c r="J71" s="157"/>
      <c r="K71" s="38"/>
    </row>
    <row r="72" spans="2:35" ht="13.9">
      <c r="B72" s="63"/>
      <c r="C72" s="62"/>
      <c r="D72" s="61"/>
      <c r="E72" s="60"/>
      <c r="F72" s="59"/>
      <c r="G72" s="58"/>
      <c r="H72" s="57"/>
      <c r="I72" s="137"/>
      <c r="J72" s="157"/>
    </row>
    <row r="73" spans="2:35" ht="14.45" thickBot="1">
      <c r="B73" s="56"/>
      <c r="C73" s="55"/>
      <c r="D73" s="54"/>
      <c r="E73" s="53"/>
      <c r="F73" s="52"/>
      <c r="G73" s="51"/>
      <c r="H73" s="156"/>
      <c r="I73" s="138"/>
      <c r="J73" s="158"/>
      <c r="K73" s="39"/>
    </row>
    <row r="74" spans="2:35" ht="13.9">
      <c r="H74" s="50"/>
      <c r="I74" s="50"/>
      <c r="J74" s="50"/>
      <c r="K74" s="50"/>
    </row>
    <row r="75" spans="2:35" ht="14.45" thickBot="1">
      <c r="D75" s="39"/>
      <c r="H75" s="38"/>
      <c r="I75" s="38"/>
      <c r="J75" s="38"/>
      <c r="K75" s="38"/>
    </row>
    <row r="76" spans="2:35" ht="15.75" customHeight="1" thickBot="1">
      <c r="B76" s="864" t="s">
        <v>560</v>
      </c>
      <c r="C76" s="865"/>
      <c r="D76" s="764"/>
      <c r="E76" s="764"/>
    </row>
    <row r="77" spans="2:35" ht="13.9">
      <c r="B77" s="768"/>
      <c r="C77" s="769" t="s">
        <v>8</v>
      </c>
      <c r="AB77" s="37"/>
      <c r="AC77" s="37"/>
      <c r="AD77" s="37"/>
      <c r="AE77" s="37"/>
      <c r="AF77" s="37"/>
      <c r="AG77" s="37"/>
      <c r="AH77" s="37"/>
      <c r="AI77" s="37"/>
    </row>
    <row r="78" spans="2:35" ht="13.9">
      <c r="B78" s="104" t="str">
        <f>[1]Laskenta!C144</f>
        <v>Lennot: kotimaa</v>
      </c>
      <c r="C78" s="770">
        <f>F41+Laskenta!F147*Tausta_Liikematkat!C19</f>
        <v>0</v>
      </c>
      <c r="AB78" s="37"/>
      <c r="AC78" s="37"/>
      <c r="AD78" s="37"/>
      <c r="AE78" s="37"/>
      <c r="AF78" s="37"/>
      <c r="AG78" s="37"/>
      <c r="AH78" s="37"/>
      <c r="AI78" s="37"/>
    </row>
    <row r="79" spans="2:35" ht="15.75" customHeight="1">
      <c r="B79" s="104" t="str">
        <f>[1]Laskenta!C145</f>
        <v>Lennot: ulkomaa</v>
      </c>
      <c r="C79" s="770">
        <f>F42+Laskenta!F148*Tausta_Liikematkat!C19</f>
        <v>0</v>
      </c>
      <c r="F79" s="39"/>
      <c r="G79" s="39"/>
      <c r="H79" s="39"/>
      <c r="I79" s="39"/>
      <c r="J79" s="39"/>
      <c r="K79" s="39"/>
    </row>
    <row r="80" spans="2:35" ht="15.75" customHeight="1">
      <c r="B80" s="104" t="str">
        <f>[1]Laskenta!C146</f>
        <v>Kilometrikorvausten alaiset kilometrit autolla</v>
      </c>
      <c r="C80" s="770">
        <f>H13+H19</f>
        <v>0</v>
      </c>
      <c r="O80" s="143"/>
      <c r="P80" s="143"/>
    </row>
    <row r="81" spans="2:19" ht="15.6">
      <c r="B81" s="104" t="str">
        <f>[1]Laskenta!C147</f>
        <v>Liikematkat junalla</v>
      </c>
      <c r="C81" s="770">
        <f>J19+J13</f>
        <v>0</v>
      </c>
      <c r="O81" s="49"/>
      <c r="P81" s="49"/>
    </row>
    <row r="82" spans="2:19" ht="15.6">
      <c r="B82" s="104" t="str">
        <f>[1]Laskenta!C148</f>
        <v>Liikematkat bussilla</v>
      </c>
      <c r="C82" s="770">
        <f>K13+K19</f>
        <v>0</v>
      </c>
      <c r="O82" s="46"/>
      <c r="P82" s="46"/>
      <c r="Q82" s="143"/>
      <c r="R82" s="143"/>
      <c r="S82" s="143"/>
    </row>
    <row r="83" spans="2:19" ht="15.6">
      <c r="B83" s="104" t="s">
        <v>561</v>
      </c>
      <c r="C83" s="770">
        <f>M19+C31</f>
        <v>0</v>
      </c>
      <c r="E83" s="39"/>
      <c r="O83" s="46"/>
      <c r="P83" s="46"/>
      <c r="Q83" s="49"/>
      <c r="R83" s="49"/>
      <c r="S83" s="48"/>
    </row>
    <row r="84" spans="2:19" ht="15.6">
      <c r="B84" s="104" t="str">
        <f>[1]Laskenta!C150</f>
        <v>Taksimatkat</v>
      </c>
      <c r="C84" s="771">
        <f>I13+I19</f>
        <v>0</v>
      </c>
      <c r="E84" s="39"/>
      <c r="O84" s="142"/>
      <c r="P84" s="142"/>
      <c r="Q84" s="46"/>
      <c r="R84" s="46"/>
      <c r="S84" s="46"/>
    </row>
    <row r="85" spans="2:19" ht="16.149999999999999" thickBot="1">
      <c r="B85" s="772" t="str">
        <f>[1]Laskenta!C151</f>
        <v>Laivamatkat</v>
      </c>
      <c r="C85" s="773">
        <f>L13+L19</f>
        <v>0</v>
      </c>
      <c r="E85" s="39"/>
      <c r="O85" s="49"/>
      <c r="P85" s="49"/>
      <c r="Q85" s="46"/>
      <c r="R85" s="46"/>
      <c r="S85" s="46"/>
    </row>
    <row r="86" spans="2:19" ht="15.75" customHeight="1">
      <c r="O86" s="46"/>
      <c r="P86" s="46"/>
      <c r="Q86" s="142"/>
      <c r="R86" s="142"/>
      <c r="S86" s="142"/>
    </row>
    <row r="87" spans="2:19" ht="15.75" customHeight="1">
      <c r="O87" s="46"/>
      <c r="P87" s="46"/>
      <c r="Q87" s="49"/>
      <c r="R87" s="49"/>
      <c r="S87" s="48"/>
    </row>
    <row r="88" spans="2:19" ht="15.75" customHeight="1">
      <c r="H88" s="47"/>
      <c r="I88" s="47"/>
      <c r="J88" s="47"/>
      <c r="K88" s="47"/>
      <c r="L88" s="47"/>
      <c r="M88" s="46"/>
      <c r="Q88" s="46"/>
      <c r="R88" s="46"/>
      <c r="S88" s="46"/>
    </row>
    <row r="89" spans="2:19" ht="15.75" customHeight="1">
      <c r="Q89" s="46"/>
      <c r="R89" s="46"/>
      <c r="S89" s="46"/>
    </row>
    <row r="96" spans="2:19" ht="15.75" customHeight="1">
      <c r="N96" s="39"/>
      <c r="O96" s="39"/>
      <c r="P96" s="39"/>
    </row>
    <row r="97" spans="2:35" ht="15.75" customHeight="1">
      <c r="N97" s="39"/>
      <c r="O97" s="38"/>
      <c r="P97" s="45"/>
    </row>
    <row r="98" spans="2:35" ht="13.9">
      <c r="N98" s="39"/>
      <c r="O98" s="38"/>
      <c r="P98" s="45"/>
      <c r="Q98" s="39"/>
      <c r="R98" s="39"/>
      <c r="S98" s="39"/>
      <c r="T98" s="39"/>
      <c r="U98" s="39"/>
      <c r="V98" s="39"/>
      <c r="W98" s="44"/>
      <c r="X98" s="44"/>
      <c r="Y98" s="44"/>
    </row>
    <row r="99" spans="2:35" ht="13.9">
      <c r="N99" s="39"/>
      <c r="O99" s="38"/>
      <c r="P99" s="45"/>
      <c r="Q99" s="44"/>
      <c r="R99" s="44"/>
      <c r="S99" s="44"/>
      <c r="T99" s="44"/>
      <c r="U99" s="44"/>
      <c r="V99" s="44"/>
      <c r="W99" s="44"/>
      <c r="X99" s="44"/>
      <c r="Y99" s="44"/>
    </row>
    <row r="100" spans="2:35" ht="13.9">
      <c r="N100" s="39"/>
      <c r="O100" s="38"/>
      <c r="P100" s="45"/>
      <c r="Q100" s="44"/>
      <c r="R100" s="44"/>
      <c r="S100" s="44"/>
      <c r="T100" s="44"/>
      <c r="U100" s="44"/>
      <c r="V100" s="44"/>
      <c r="AA100" s="37"/>
    </row>
    <row r="101" spans="2:35" ht="13.9">
      <c r="N101" s="39"/>
      <c r="O101" s="38"/>
      <c r="P101" s="45"/>
      <c r="Q101" s="44"/>
      <c r="R101" s="44"/>
      <c r="S101" s="44"/>
      <c r="T101" s="44"/>
      <c r="U101" s="44"/>
      <c r="V101" s="44"/>
      <c r="AA101" s="37"/>
    </row>
    <row r="102" spans="2:35" ht="13.9">
      <c r="N102" s="39"/>
      <c r="O102" s="38"/>
      <c r="P102" s="45"/>
      <c r="Q102" s="44"/>
      <c r="R102" s="44"/>
      <c r="S102" s="44"/>
      <c r="T102" s="44"/>
      <c r="U102" s="44"/>
      <c r="V102" s="44"/>
      <c r="AB102" s="41"/>
      <c r="AC102" s="41"/>
      <c r="AD102" s="41"/>
      <c r="AE102" s="41"/>
      <c r="AF102" s="41"/>
      <c r="AG102" s="41"/>
      <c r="AH102" s="41"/>
      <c r="AI102" s="41"/>
    </row>
    <row r="103" spans="2:35" ht="13.9">
      <c r="N103" s="39"/>
      <c r="O103" s="38"/>
      <c r="P103" s="45"/>
      <c r="Q103" s="44"/>
      <c r="R103" s="44"/>
      <c r="S103" s="44"/>
      <c r="T103" s="44"/>
      <c r="U103" s="44"/>
      <c r="V103" s="44"/>
      <c r="AB103" s="40"/>
      <c r="AC103" s="40"/>
      <c r="AD103" s="40"/>
      <c r="AE103" s="40"/>
      <c r="AF103" s="40"/>
      <c r="AG103" s="40"/>
      <c r="AH103" s="40"/>
      <c r="AI103" s="40"/>
    </row>
    <row r="104" spans="2:35" ht="13.9">
      <c r="N104" s="39"/>
      <c r="O104" s="38"/>
      <c r="P104" s="45"/>
      <c r="Q104" s="44"/>
      <c r="R104" s="44"/>
      <c r="S104" s="44"/>
      <c r="T104" s="44"/>
      <c r="U104" s="44"/>
      <c r="V104" s="44"/>
      <c r="AB104" s="40"/>
      <c r="AC104" s="40"/>
      <c r="AD104" s="40"/>
      <c r="AE104" s="40"/>
      <c r="AF104" s="40"/>
      <c r="AG104" s="40"/>
      <c r="AH104" s="40"/>
      <c r="AI104" s="40"/>
    </row>
    <row r="105" spans="2:35" ht="13.9">
      <c r="N105" s="39"/>
      <c r="O105" s="38"/>
      <c r="P105" s="45"/>
      <c r="Q105" s="44"/>
      <c r="R105" s="44"/>
      <c r="S105" s="44"/>
      <c r="T105" s="44"/>
      <c r="U105" s="44"/>
      <c r="V105" s="44"/>
      <c r="AB105" s="40"/>
      <c r="AC105" s="40"/>
      <c r="AD105" s="40"/>
      <c r="AE105" s="40"/>
      <c r="AF105" s="40"/>
      <c r="AG105" s="40"/>
      <c r="AH105" s="40"/>
      <c r="AI105" s="40"/>
    </row>
    <row r="106" spans="2:35" ht="13.9">
      <c r="N106" s="39"/>
      <c r="O106" s="38"/>
      <c r="P106" s="44"/>
      <c r="Q106" s="44"/>
      <c r="R106" s="44"/>
      <c r="S106" s="44"/>
      <c r="T106" s="44"/>
      <c r="U106" s="44"/>
      <c r="V106" s="44"/>
      <c r="AB106" s="40"/>
      <c r="AC106" s="40"/>
      <c r="AD106" s="40"/>
      <c r="AE106" s="40"/>
      <c r="AF106" s="40"/>
      <c r="AG106" s="40"/>
      <c r="AH106" s="40"/>
      <c r="AI106" s="40"/>
    </row>
    <row r="107" spans="2:35" ht="13.9">
      <c r="N107" s="39"/>
      <c r="O107" s="38"/>
      <c r="P107" s="45"/>
      <c r="Q107" s="44"/>
      <c r="R107" s="44"/>
      <c r="S107" s="44"/>
      <c r="T107" s="44"/>
      <c r="U107" s="44"/>
      <c r="V107" s="44"/>
      <c r="AB107" s="37"/>
      <c r="AC107" s="37"/>
      <c r="AD107" s="37"/>
      <c r="AE107" s="37"/>
      <c r="AF107" s="37"/>
      <c r="AG107" s="37"/>
      <c r="AH107" s="37"/>
      <c r="AI107" s="37"/>
    </row>
    <row r="108" spans="2:35" ht="13.9">
      <c r="B108" s="37"/>
      <c r="C108" s="37"/>
      <c r="N108" s="39"/>
      <c r="O108" s="38"/>
      <c r="P108" s="45"/>
      <c r="Q108" s="44"/>
      <c r="R108" s="44"/>
      <c r="S108" s="44"/>
      <c r="T108" s="44"/>
      <c r="U108" s="44"/>
      <c r="V108" s="44"/>
      <c r="AB108" s="37"/>
      <c r="AC108" s="37"/>
      <c r="AD108" s="37"/>
      <c r="AE108" s="37"/>
      <c r="AF108" s="37"/>
      <c r="AG108" s="37"/>
      <c r="AH108" s="37"/>
      <c r="AI108" s="37"/>
    </row>
    <row r="109" spans="2:35" ht="13.9">
      <c r="N109" s="39"/>
      <c r="O109" s="39"/>
      <c r="P109" s="44"/>
      <c r="Q109" s="44"/>
      <c r="R109" s="44"/>
      <c r="S109" s="44"/>
      <c r="T109" s="44"/>
      <c r="U109" s="44"/>
      <c r="V109" s="44"/>
    </row>
    <row r="110" spans="2:35" ht="13.9">
      <c r="N110" s="39"/>
      <c r="O110" s="39"/>
      <c r="P110" s="44"/>
      <c r="Q110" s="44"/>
      <c r="R110" s="44"/>
      <c r="S110" s="44"/>
      <c r="T110" s="44"/>
      <c r="U110" s="44"/>
      <c r="V110" s="44"/>
    </row>
    <row r="111" spans="2:35" ht="13.9">
      <c r="N111" s="39"/>
      <c r="O111" s="39"/>
      <c r="P111" s="44"/>
      <c r="Q111" s="44"/>
      <c r="R111" s="44"/>
      <c r="S111" s="44"/>
      <c r="T111" s="44"/>
      <c r="U111" s="44"/>
      <c r="V111" s="44"/>
    </row>
    <row r="112" spans="2:35" ht="13.9">
      <c r="N112" s="39"/>
      <c r="O112" s="39"/>
      <c r="P112" s="44"/>
      <c r="Q112" s="44"/>
      <c r="R112" s="44"/>
      <c r="S112" s="44"/>
      <c r="T112" s="44"/>
      <c r="U112" s="44"/>
      <c r="V112" s="44"/>
    </row>
    <row r="113" spans="2:27" ht="13.9">
      <c r="N113" s="39"/>
      <c r="O113" s="39"/>
      <c r="P113" s="44"/>
      <c r="Q113" s="44"/>
      <c r="R113" s="44"/>
      <c r="S113" s="44"/>
      <c r="T113" s="44"/>
      <c r="U113" s="44"/>
      <c r="V113" s="44"/>
    </row>
    <row r="114" spans="2:27" ht="13.9">
      <c r="N114" s="39"/>
      <c r="O114" s="39"/>
      <c r="P114" s="44"/>
      <c r="Q114" s="44"/>
      <c r="R114" s="44"/>
      <c r="S114" s="44"/>
      <c r="T114" s="44"/>
      <c r="U114" s="44"/>
      <c r="V114" s="44"/>
    </row>
    <row r="115" spans="2:27" ht="13.9">
      <c r="N115" s="39"/>
      <c r="O115" s="39"/>
      <c r="P115" s="44"/>
      <c r="Q115" s="44"/>
      <c r="R115" s="44"/>
      <c r="S115" s="44"/>
      <c r="T115" s="44"/>
      <c r="U115" s="44"/>
      <c r="V115" s="44"/>
    </row>
    <row r="116" spans="2:27" ht="13.9">
      <c r="N116" s="39"/>
      <c r="O116" s="39"/>
      <c r="P116" s="44"/>
      <c r="Q116" s="44"/>
      <c r="R116" s="44"/>
      <c r="S116" s="44"/>
      <c r="T116" s="44"/>
      <c r="U116" s="44"/>
      <c r="V116" s="44"/>
    </row>
    <row r="117" spans="2:27" ht="13.9">
      <c r="B117" s="39"/>
      <c r="C117" s="39"/>
      <c r="N117" s="39"/>
      <c r="O117" s="39"/>
      <c r="P117" s="44"/>
      <c r="Q117" s="44"/>
      <c r="R117" s="44"/>
      <c r="S117" s="44"/>
      <c r="T117" s="44"/>
      <c r="U117" s="44"/>
      <c r="V117" s="44"/>
    </row>
    <row r="118" spans="2:27" ht="13.9">
      <c r="Q118" s="44"/>
      <c r="R118" s="44"/>
      <c r="S118" s="44"/>
      <c r="T118" s="44"/>
      <c r="U118" s="44"/>
      <c r="V118" s="44"/>
    </row>
    <row r="119" spans="2:27" ht="13.9">
      <c r="N119" s="39"/>
      <c r="O119" s="39"/>
      <c r="P119" s="39"/>
      <c r="Q119" s="44"/>
      <c r="R119" s="44"/>
      <c r="S119" s="44"/>
      <c r="T119" s="44"/>
      <c r="U119" s="44"/>
      <c r="V119" s="44"/>
    </row>
    <row r="120" spans="2:27" ht="15.75" customHeight="1">
      <c r="F120" s="44"/>
      <c r="G120" s="44"/>
      <c r="H120" s="44"/>
      <c r="I120" s="44"/>
      <c r="J120" s="44"/>
      <c r="K120" s="44"/>
      <c r="L120" s="44"/>
      <c r="M120" s="44"/>
      <c r="N120" s="39"/>
      <c r="O120" s="39"/>
      <c r="P120" s="39"/>
    </row>
    <row r="121" spans="2:27" ht="13.9">
      <c r="B121" s="39"/>
      <c r="C121" s="39"/>
      <c r="F121" s="44"/>
      <c r="G121" s="44"/>
      <c r="H121" s="44"/>
      <c r="I121" s="44"/>
      <c r="J121" s="44"/>
      <c r="K121" s="44"/>
      <c r="L121" s="44"/>
      <c r="M121" s="44"/>
      <c r="N121" s="39"/>
      <c r="O121" s="38"/>
      <c r="P121" s="39"/>
      <c r="R121" s="39"/>
      <c r="S121" s="39"/>
      <c r="T121" s="39"/>
      <c r="U121" s="39"/>
      <c r="V121" s="39"/>
      <c r="W121" s="39"/>
    </row>
    <row r="122" spans="2:27" ht="13.9">
      <c r="B122" s="39"/>
      <c r="C122" s="39"/>
      <c r="D122" s="44"/>
      <c r="E122" s="44"/>
      <c r="F122" s="44"/>
      <c r="G122" s="44"/>
      <c r="H122" s="44"/>
      <c r="I122" s="44"/>
      <c r="J122" s="44"/>
      <c r="K122" s="44"/>
      <c r="L122" s="44"/>
      <c r="M122" s="44"/>
      <c r="N122" s="39"/>
      <c r="O122" s="38"/>
      <c r="P122" s="39"/>
      <c r="Q122" s="39"/>
      <c r="R122" s="39"/>
      <c r="S122" s="39"/>
      <c r="T122" s="39"/>
      <c r="U122" s="39"/>
      <c r="X122" s="39"/>
      <c r="Y122" s="39"/>
    </row>
    <row r="123" spans="2:27" ht="13.9">
      <c r="B123" s="39"/>
      <c r="C123" s="39"/>
      <c r="D123" s="44"/>
      <c r="E123" s="44"/>
      <c r="F123" s="44"/>
      <c r="G123" s="44"/>
      <c r="H123" s="44"/>
      <c r="I123" s="44"/>
      <c r="J123" s="44"/>
      <c r="K123" s="44"/>
      <c r="L123" s="44"/>
      <c r="M123" s="44"/>
      <c r="N123" s="39"/>
      <c r="O123" s="38"/>
      <c r="P123" s="39"/>
      <c r="Q123" s="39"/>
      <c r="R123" s="43"/>
      <c r="S123" s="43"/>
      <c r="T123" s="43"/>
      <c r="U123" s="43"/>
      <c r="V123" s="43"/>
      <c r="W123" s="43"/>
      <c r="X123" s="39"/>
      <c r="Y123" s="39"/>
    </row>
    <row r="124" spans="2:27" ht="13.9">
      <c r="B124" s="39"/>
      <c r="C124" s="39"/>
      <c r="D124" s="44"/>
      <c r="E124" s="44"/>
      <c r="F124" s="44"/>
      <c r="G124" s="44"/>
      <c r="H124" s="44"/>
      <c r="I124" s="44"/>
      <c r="J124" s="44"/>
      <c r="K124" s="44"/>
      <c r="L124" s="44"/>
      <c r="M124" s="44"/>
      <c r="N124" s="39"/>
      <c r="O124" s="38"/>
      <c r="P124" s="39"/>
      <c r="Q124" s="39"/>
      <c r="R124" s="43"/>
      <c r="S124" s="43"/>
      <c r="T124" s="43"/>
      <c r="U124" s="43"/>
      <c r="V124" s="43"/>
      <c r="W124" s="43"/>
      <c r="X124" s="39"/>
      <c r="Y124" s="39"/>
    </row>
    <row r="125" spans="2:27" ht="13.9">
      <c r="B125" s="39"/>
      <c r="C125" s="39"/>
      <c r="D125" s="44"/>
      <c r="E125" s="44"/>
      <c r="F125" s="44"/>
      <c r="G125" s="44"/>
      <c r="H125" s="44"/>
      <c r="I125" s="44"/>
      <c r="J125" s="44"/>
      <c r="K125" s="44"/>
      <c r="L125" s="44"/>
      <c r="M125" s="44"/>
      <c r="N125" s="39"/>
      <c r="O125" s="38"/>
      <c r="P125" s="39"/>
      <c r="Q125" s="39"/>
      <c r="R125" s="43"/>
      <c r="S125" s="43"/>
      <c r="T125" s="43"/>
      <c r="U125" s="43"/>
      <c r="V125" s="43"/>
      <c r="W125" s="43"/>
      <c r="X125" s="39"/>
      <c r="Y125" s="39"/>
      <c r="AA125" s="41"/>
    </row>
    <row r="126" spans="2:27" ht="13.9">
      <c r="B126" s="39"/>
      <c r="C126" s="39"/>
      <c r="D126" s="44"/>
      <c r="E126" s="44"/>
      <c r="F126" s="44"/>
      <c r="G126" s="44"/>
      <c r="H126" s="44"/>
      <c r="I126" s="44"/>
      <c r="J126" s="44"/>
      <c r="K126" s="44"/>
      <c r="L126" s="44"/>
      <c r="M126" s="44"/>
      <c r="N126" s="39"/>
      <c r="O126" s="38"/>
      <c r="P126" s="39"/>
      <c r="Q126" s="39"/>
      <c r="R126" s="43"/>
      <c r="S126" s="43"/>
      <c r="T126" s="43"/>
      <c r="U126" s="43"/>
      <c r="V126" s="43"/>
      <c r="W126" s="43"/>
      <c r="X126" s="39"/>
      <c r="Y126" s="39"/>
      <c r="AA126" s="40"/>
    </row>
    <row r="127" spans="2:27" ht="13.9">
      <c r="B127" s="39"/>
      <c r="C127" s="39"/>
      <c r="D127" s="44"/>
      <c r="E127" s="44"/>
      <c r="F127" s="44"/>
      <c r="G127" s="44"/>
      <c r="H127" s="44"/>
      <c r="I127" s="44"/>
      <c r="J127" s="44"/>
      <c r="K127" s="44"/>
      <c r="L127" s="44"/>
      <c r="M127" s="44"/>
      <c r="N127" s="39"/>
      <c r="O127" s="38"/>
      <c r="P127" s="39"/>
      <c r="Q127" s="39"/>
      <c r="R127" s="43"/>
      <c r="S127" s="43"/>
      <c r="T127" s="43"/>
      <c r="U127" s="43"/>
      <c r="V127" s="43"/>
      <c r="W127" s="43"/>
      <c r="X127" s="39"/>
      <c r="Y127" s="39"/>
      <c r="AA127" s="40"/>
    </row>
    <row r="128" spans="2:27" ht="13.9">
      <c r="B128" s="39"/>
      <c r="C128" s="39"/>
      <c r="D128" s="44"/>
      <c r="E128" s="44"/>
      <c r="F128" s="44"/>
      <c r="G128" s="44"/>
      <c r="H128" s="44"/>
      <c r="I128" s="44"/>
      <c r="J128" s="44"/>
      <c r="K128" s="44"/>
      <c r="L128" s="44"/>
      <c r="M128" s="44"/>
      <c r="N128" s="39"/>
      <c r="O128" s="38"/>
      <c r="P128" s="39"/>
      <c r="Q128" s="39"/>
      <c r="R128" s="43"/>
      <c r="S128" s="43"/>
      <c r="T128" s="43"/>
      <c r="U128" s="43"/>
      <c r="V128" s="43"/>
      <c r="W128" s="43"/>
      <c r="X128" s="39"/>
      <c r="Y128" s="39"/>
      <c r="AA128" s="40"/>
    </row>
    <row r="129" spans="2:35" ht="13.9">
      <c r="B129" s="39"/>
      <c r="C129" s="39"/>
      <c r="D129" s="44"/>
      <c r="E129" s="44"/>
      <c r="F129" s="44"/>
      <c r="G129" s="44"/>
      <c r="H129" s="44"/>
      <c r="I129" s="44"/>
      <c r="J129" s="44"/>
      <c r="K129" s="44"/>
      <c r="L129" s="44"/>
      <c r="M129" s="44"/>
      <c r="N129" s="39"/>
      <c r="O129" s="38"/>
      <c r="P129" s="39"/>
      <c r="Q129" s="39"/>
      <c r="R129" s="43"/>
      <c r="S129" s="43"/>
      <c r="T129" s="43"/>
      <c r="U129" s="43"/>
      <c r="V129" s="43"/>
      <c r="W129" s="43"/>
      <c r="X129" s="39"/>
      <c r="Y129" s="39"/>
      <c r="AA129" s="40"/>
    </row>
    <row r="130" spans="2:35" ht="13.9">
      <c r="B130" s="39"/>
      <c r="C130" s="39"/>
      <c r="D130" s="44"/>
      <c r="E130" s="44"/>
      <c r="F130" s="44"/>
      <c r="G130" s="44"/>
      <c r="H130" s="44"/>
      <c r="I130" s="44"/>
      <c r="J130" s="44"/>
      <c r="K130" s="44"/>
      <c r="L130" s="44"/>
      <c r="M130" s="44"/>
      <c r="N130" s="39"/>
      <c r="O130" s="38"/>
      <c r="P130" s="39"/>
      <c r="Q130" s="39"/>
      <c r="R130" s="43"/>
      <c r="S130" s="43"/>
      <c r="T130" s="43"/>
      <c r="U130" s="43"/>
      <c r="V130" s="43"/>
      <c r="W130" s="43"/>
      <c r="X130" s="39"/>
      <c r="Y130" s="39"/>
    </row>
    <row r="131" spans="2:35" ht="13.9">
      <c r="B131" s="39"/>
      <c r="C131" s="39"/>
      <c r="D131" s="44"/>
      <c r="E131" s="44"/>
      <c r="N131" s="39"/>
      <c r="O131" s="38"/>
      <c r="P131" s="39"/>
      <c r="Q131" s="39"/>
      <c r="R131" s="43"/>
      <c r="S131" s="43"/>
      <c r="T131" s="43"/>
      <c r="U131" s="43"/>
      <c r="V131" s="43"/>
      <c r="W131" s="43"/>
      <c r="X131" s="39"/>
      <c r="Y131" s="39"/>
    </row>
    <row r="132" spans="2:35" ht="13.9">
      <c r="B132" s="39"/>
      <c r="C132" s="39"/>
      <c r="D132" s="44"/>
      <c r="E132" s="44"/>
      <c r="N132" s="39"/>
      <c r="O132" s="38"/>
      <c r="P132" s="39"/>
      <c r="Q132" s="39"/>
      <c r="R132" s="43"/>
      <c r="S132" s="43"/>
      <c r="T132" s="43"/>
      <c r="U132" s="43"/>
      <c r="V132" s="43"/>
      <c r="W132" s="43"/>
      <c r="X132" s="39"/>
      <c r="Y132" s="39"/>
    </row>
    <row r="133" spans="2:35" ht="13.9">
      <c r="N133" s="39"/>
      <c r="O133" s="38"/>
      <c r="P133" s="39"/>
      <c r="Q133" s="39"/>
      <c r="R133" s="43"/>
      <c r="S133" s="43"/>
      <c r="T133" s="43"/>
      <c r="U133" s="43"/>
      <c r="V133" s="43"/>
      <c r="W133" s="43"/>
      <c r="X133" s="39"/>
      <c r="Y133" s="39"/>
    </row>
    <row r="134" spans="2:35" ht="13.9">
      <c r="B134" s="39"/>
      <c r="C134" s="39"/>
      <c r="H134" s="43"/>
      <c r="I134" s="43"/>
      <c r="J134" s="43"/>
      <c r="K134" s="43"/>
      <c r="L134" s="43"/>
      <c r="M134" s="43"/>
      <c r="N134" s="39"/>
      <c r="O134" s="38"/>
      <c r="P134" s="39"/>
      <c r="Q134" s="39"/>
      <c r="R134" s="43"/>
      <c r="S134" s="43"/>
      <c r="T134" s="43"/>
      <c r="U134" s="43"/>
      <c r="V134" s="43"/>
      <c r="W134" s="43"/>
      <c r="X134" s="39"/>
      <c r="Y134" s="39"/>
      <c r="AA134" s="37"/>
      <c r="AB134" s="37"/>
      <c r="AC134" s="37"/>
      <c r="AD134" s="37"/>
      <c r="AE134" s="37"/>
      <c r="AF134" s="37"/>
      <c r="AG134" s="37"/>
      <c r="AH134" s="37"/>
      <c r="AI134" s="37"/>
    </row>
    <row r="135" spans="2:35" ht="13.9">
      <c r="B135" s="39"/>
      <c r="C135" s="39"/>
      <c r="H135" s="43"/>
      <c r="I135" s="43"/>
      <c r="J135" s="43"/>
      <c r="K135" s="43"/>
      <c r="L135" s="43"/>
      <c r="M135" s="43"/>
      <c r="N135" s="39"/>
      <c r="O135" s="38"/>
      <c r="P135" s="39"/>
      <c r="Q135" s="39"/>
      <c r="R135" s="43"/>
      <c r="S135" s="43"/>
      <c r="T135" s="43"/>
      <c r="U135" s="43"/>
      <c r="V135" s="43"/>
      <c r="W135" s="43"/>
      <c r="X135" s="39"/>
      <c r="Y135" s="39"/>
      <c r="AA135" s="37"/>
      <c r="AB135" s="37"/>
      <c r="AC135" s="37"/>
      <c r="AD135" s="37"/>
      <c r="AE135" s="37"/>
      <c r="AF135" s="37"/>
      <c r="AG135" s="37"/>
      <c r="AH135" s="37"/>
      <c r="AI135" s="37"/>
    </row>
    <row r="136" spans="2:35" ht="13.9">
      <c r="B136" s="39"/>
      <c r="C136" s="39"/>
      <c r="H136" s="43"/>
      <c r="I136" s="43"/>
      <c r="J136" s="43"/>
      <c r="K136" s="43"/>
      <c r="L136" s="43"/>
      <c r="M136" s="43"/>
      <c r="N136" s="39"/>
      <c r="O136" s="38"/>
      <c r="P136" s="39"/>
      <c r="Q136" s="39"/>
      <c r="R136" s="43"/>
      <c r="S136" s="43"/>
      <c r="T136" s="43"/>
      <c r="U136" s="43"/>
      <c r="V136" s="43"/>
      <c r="W136" s="43"/>
      <c r="X136" s="39"/>
      <c r="Y136" s="39"/>
    </row>
    <row r="137" spans="2:35" ht="13.9">
      <c r="B137" s="39"/>
      <c r="C137" s="39"/>
      <c r="H137" s="43"/>
      <c r="I137" s="43"/>
      <c r="J137" s="43"/>
      <c r="K137" s="43"/>
      <c r="L137" s="43"/>
      <c r="M137" s="43"/>
      <c r="N137" s="39"/>
      <c r="O137" s="38"/>
      <c r="P137" s="39"/>
      <c r="Q137" s="39"/>
      <c r="R137" s="43"/>
      <c r="S137" s="43"/>
      <c r="T137" s="43"/>
      <c r="U137" s="43"/>
      <c r="V137" s="43"/>
      <c r="W137" s="43"/>
      <c r="X137" s="39"/>
      <c r="Y137" s="39"/>
    </row>
    <row r="138" spans="2:35" ht="13.9">
      <c r="B138" s="39"/>
      <c r="C138" s="39"/>
      <c r="H138" s="43"/>
      <c r="I138" s="43"/>
      <c r="J138" s="43"/>
      <c r="K138" s="43"/>
      <c r="L138" s="43"/>
      <c r="M138" s="43"/>
      <c r="N138" s="39"/>
      <c r="O138" s="38"/>
      <c r="P138" s="39"/>
      <c r="Q138" s="39"/>
      <c r="R138" s="43"/>
      <c r="S138" s="43"/>
      <c r="T138" s="43"/>
      <c r="U138" s="43"/>
      <c r="V138" s="43"/>
      <c r="W138" s="43"/>
      <c r="X138" s="39"/>
      <c r="Y138" s="39"/>
    </row>
    <row r="139" spans="2:35" ht="13.9">
      <c r="B139" s="39"/>
      <c r="C139" s="39"/>
      <c r="H139" s="43"/>
      <c r="I139" s="43"/>
      <c r="J139" s="43"/>
      <c r="K139" s="43"/>
      <c r="L139" s="43"/>
      <c r="M139" s="43"/>
      <c r="N139" s="39"/>
      <c r="O139" s="38"/>
      <c r="P139" s="39"/>
      <c r="Q139" s="39"/>
      <c r="R139" s="43"/>
      <c r="S139" s="43"/>
      <c r="T139" s="43"/>
      <c r="U139" s="43"/>
      <c r="V139" s="43"/>
      <c r="W139" s="43"/>
      <c r="X139" s="39"/>
      <c r="Y139" s="39"/>
    </row>
    <row r="140" spans="2:35" ht="13.9">
      <c r="B140" s="39"/>
      <c r="C140" s="39"/>
      <c r="H140" s="43"/>
      <c r="I140" s="43"/>
      <c r="J140" s="43"/>
      <c r="K140" s="43"/>
      <c r="L140" s="43"/>
      <c r="M140" s="43"/>
      <c r="N140" s="39"/>
      <c r="O140" s="38"/>
      <c r="P140" s="39"/>
      <c r="Q140" s="39"/>
      <c r="R140" s="43"/>
      <c r="S140" s="43"/>
      <c r="T140" s="43"/>
      <c r="U140" s="43"/>
      <c r="V140" s="43"/>
      <c r="W140" s="43"/>
      <c r="X140" s="39"/>
      <c r="Y140" s="39"/>
    </row>
    <row r="141" spans="2:35" ht="13.9">
      <c r="B141" s="39"/>
      <c r="C141" s="39"/>
      <c r="H141" s="43"/>
      <c r="I141" s="43"/>
      <c r="J141" s="43"/>
      <c r="K141" s="43"/>
      <c r="L141" s="43"/>
      <c r="M141" s="43"/>
      <c r="N141" s="39"/>
      <c r="O141" s="38"/>
      <c r="P141" s="39"/>
      <c r="Q141" s="39"/>
      <c r="R141" s="43"/>
      <c r="S141" s="43"/>
      <c r="T141" s="43"/>
      <c r="U141" s="43"/>
      <c r="V141" s="43"/>
      <c r="W141" s="43"/>
      <c r="X141" s="39"/>
      <c r="Y141" s="39"/>
    </row>
    <row r="142" spans="2:35" ht="13.9">
      <c r="B142" s="39"/>
      <c r="C142" s="39"/>
      <c r="H142" s="43"/>
      <c r="I142" s="43"/>
      <c r="J142" s="43"/>
      <c r="K142" s="43"/>
      <c r="L142" s="43"/>
      <c r="M142" s="43"/>
      <c r="Q142" s="39"/>
      <c r="R142" s="43"/>
      <c r="S142" s="43"/>
      <c r="T142" s="43"/>
      <c r="U142" s="43"/>
      <c r="V142" s="43"/>
      <c r="W142" s="43"/>
      <c r="X142" s="39"/>
      <c r="Y142" s="39"/>
    </row>
    <row r="143" spans="2:35" ht="13.9">
      <c r="B143" s="39"/>
      <c r="C143" s="39"/>
      <c r="H143" s="43"/>
      <c r="I143" s="43"/>
      <c r="J143" s="43"/>
      <c r="K143" s="43"/>
      <c r="L143" s="43"/>
      <c r="M143" s="43"/>
      <c r="Q143" s="39"/>
      <c r="R143" s="43"/>
      <c r="S143" s="43"/>
      <c r="T143" s="43"/>
      <c r="U143" s="43"/>
      <c r="V143" s="43"/>
      <c r="W143" s="43"/>
      <c r="X143" s="39"/>
      <c r="Y143" s="39"/>
    </row>
    <row r="144" spans="2:35" ht="13.9">
      <c r="B144" s="39"/>
      <c r="C144" s="39"/>
      <c r="H144" s="43"/>
      <c r="I144" s="43"/>
      <c r="J144" s="43"/>
      <c r="K144" s="43"/>
      <c r="L144" s="43"/>
      <c r="M144" s="43"/>
      <c r="N144" s="39"/>
      <c r="O144" s="39"/>
      <c r="R144" s="42"/>
      <c r="S144" s="42"/>
      <c r="T144" s="42"/>
      <c r="U144" s="42"/>
      <c r="V144" s="42"/>
      <c r="W144" s="42"/>
    </row>
    <row r="145" spans="2:35" ht="13.9">
      <c r="B145" s="39"/>
      <c r="C145" s="39"/>
      <c r="H145" s="42"/>
      <c r="I145" s="42"/>
      <c r="J145" s="42"/>
      <c r="K145" s="42"/>
      <c r="L145" s="42"/>
      <c r="M145" s="42"/>
    </row>
    <row r="146" spans="2:35" ht="13.9">
      <c r="B146" s="39"/>
      <c r="C146" s="39"/>
      <c r="T146" s="39"/>
    </row>
    <row r="147" spans="2:35" ht="13.9">
      <c r="H147" s="39"/>
      <c r="I147" s="39"/>
      <c r="J147" s="39"/>
      <c r="K147" s="39"/>
    </row>
    <row r="149" spans="2:35" ht="13.9">
      <c r="B149" s="39"/>
      <c r="C149" s="39"/>
      <c r="F149" s="39"/>
      <c r="G149" s="39"/>
      <c r="H149" s="39"/>
      <c r="I149" s="39"/>
      <c r="J149" s="39"/>
      <c r="K149" s="39"/>
      <c r="L149" s="39"/>
      <c r="R149" s="41"/>
      <c r="S149" s="41"/>
      <c r="T149" s="41"/>
      <c r="U149" s="41"/>
      <c r="V149" s="41"/>
      <c r="W149" s="41"/>
      <c r="X149" s="41"/>
      <c r="Y149" s="41"/>
      <c r="Z149" s="41"/>
      <c r="AA149" s="41"/>
      <c r="AB149" s="41"/>
      <c r="AC149" s="41"/>
      <c r="AD149" s="41"/>
      <c r="AE149" s="41"/>
      <c r="AF149" s="41"/>
      <c r="AG149" s="41"/>
      <c r="AH149" s="41"/>
      <c r="AI149" s="41"/>
    </row>
    <row r="150" spans="2:35" ht="13.9">
      <c r="C150" s="39"/>
      <c r="D150" s="39"/>
      <c r="E150" s="39"/>
      <c r="F150" s="38"/>
      <c r="G150" s="38"/>
      <c r="H150" s="38"/>
      <c r="I150" s="38"/>
      <c r="J150" s="38"/>
      <c r="K150" s="38"/>
      <c r="L150" s="38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F150" s="40"/>
      <c r="AG150" s="40"/>
      <c r="AH150" s="40"/>
      <c r="AI150" s="40"/>
    </row>
    <row r="151" spans="2:35" ht="13.9">
      <c r="C151" s="39"/>
      <c r="D151" s="39"/>
      <c r="E151" s="39"/>
      <c r="F151" s="38"/>
      <c r="G151" s="38"/>
      <c r="H151" s="38"/>
      <c r="I151" s="38"/>
      <c r="J151" s="38"/>
      <c r="K151" s="38"/>
      <c r="L151" s="38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F151" s="40"/>
      <c r="AG151" s="40"/>
      <c r="AH151" s="40"/>
      <c r="AI151" s="40"/>
    </row>
    <row r="152" spans="2:35" ht="13.9">
      <c r="B152" s="39"/>
      <c r="C152" s="38"/>
      <c r="D152" s="38"/>
      <c r="E152" s="38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F152" s="40"/>
      <c r="AG152" s="40"/>
      <c r="AH152" s="40"/>
      <c r="AI152" s="40"/>
    </row>
    <row r="153" spans="2:35" ht="13.9">
      <c r="B153" s="39"/>
      <c r="C153" s="38"/>
      <c r="D153" s="38"/>
      <c r="E153" s="38"/>
      <c r="R153" s="37"/>
      <c r="S153" s="37"/>
      <c r="T153" s="37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F153" s="37"/>
      <c r="AG153" s="37"/>
      <c r="AH153" s="37"/>
      <c r="AI153" s="37"/>
    </row>
    <row r="1085" spans="6:6" ht="15.75" customHeight="1">
      <c r="F1085" s="36"/>
    </row>
    <row r="1087" spans="6:6" ht="13.9"/>
  </sheetData>
  <sheetProtection algorithmName="SHA-512" hashValue="rjIGhWT3KwH8ll+Ne5yNrcb8Kt/SnG3tMMqW9Y+4/lxONfEC//8UaxZ/zb7zGhm0+jqW1bLVZSq+uAroPdvupQ==" saltValue="AQD/UBl8npZgzMEE/LPcCQ==" spinCount="100000" sheet="1" objects="1" scenarios="1"/>
  <mergeCells count="10">
    <mergeCell ref="B76:C76"/>
    <mergeCell ref="B51:J51"/>
    <mergeCell ref="B5:D5"/>
    <mergeCell ref="F5:N5"/>
    <mergeCell ref="F9:N9"/>
    <mergeCell ref="B44:E44"/>
    <mergeCell ref="B30:D30"/>
    <mergeCell ref="B33:D33"/>
    <mergeCell ref="B39:F39"/>
    <mergeCell ref="F17:O17"/>
  </mergeCells>
  <pageMargins left="0" right="0" top="0" bottom="0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1B9EAFAD0FE37B4EB66B2F3D56AC5D9E" ma:contentTypeVersion="12" ma:contentTypeDescription="Luo uusi asiakirja." ma:contentTypeScope="" ma:versionID="13f234168511c0b8da8ee8f40d368886">
  <xsd:schema xmlns:xsd="http://www.w3.org/2001/XMLSchema" xmlns:xs="http://www.w3.org/2001/XMLSchema" xmlns:p="http://schemas.microsoft.com/office/2006/metadata/properties" xmlns:ns2="1274cd60-8815-4608-8644-643246f85760" xmlns:ns3="83f5e1c9-8ebb-4739-aeff-25e8d4dfe99c" targetNamespace="http://schemas.microsoft.com/office/2006/metadata/properties" ma:root="true" ma:fieldsID="0ec9116f1786fcceb9a37e7d31cc5d6b" ns2:_="" ns3:_="">
    <xsd:import namespace="1274cd60-8815-4608-8644-643246f85760"/>
    <xsd:import namespace="83f5e1c9-8ebb-4739-aeff-25e8d4dfe99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274cd60-8815-4608-8644-643246f8576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5" nillable="true" ma:taxonomy="true" ma:internalName="lcf76f155ced4ddcb4097134ff3c332f" ma:taxonomyFieldName="MediaServiceImageTags" ma:displayName="Kuvien tunnisteet" ma:readOnly="false" ma:fieldId="{5cf76f15-5ced-4ddc-b409-7134ff3c332f}" ma:taxonomyMulti="true" ma:sspId="cc2d492e-c52e-42f5-8829-efee6e69381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17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f5e1c9-8ebb-4739-aeff-25e8d4dfe99c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Jaett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Jakamisen tiedot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7ca52162-c27f-45ee-9a2a-3c6b2c89467e}" ma:internalName="TaxCatchAll" ma:showField="CatchAllData" ma:web="83f5e1c9-8ebb-4739-aeff-25e8d4dfe99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83f5e1c9-8ebb-4739-aeff-25e8d4dfe99c" xsi:nil="true"/>
    <lcf76f155ced4ddcb4097134ff3c332f xmlns="1274cd60-8815-4608-8644-643246f85760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B44D725-E30F-4A0F-9AE1-FE60DEB3DF4E}"/>
</file>

<file path=customXml/itemProps2.xml><?xml version="1.0" encoding="utf-8"?>
<ds:datastoreItem xmlns:ds="http://schemas.openxmlformats.org/officeDocument/2006/customXml" ds:itemID="{A76C9681-6BC7-4DFE-BAB2-D5214557BBB7}"/>
</file>

<file path=customXml/itemProps3.xml><?xml version="1.0" encoding="utf-8"?>
<ds:datastoreItem xmlns:ds="http://schemas.openxmlformats.org/officeDocument/2006/customXml" ds:itemID="{D7B11C92-76FB-4A9C-A858-3B54E088C12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Tiihonen Jussi</dc:creator>
  <cp:keywords/>
  <dc:description/>
  <cp:lastModifiedBy>Jussi Tiihonen</cp:lastModifiedBy>
  <cp:revision/>
  <dcterms:created xsi:type="dcterms:W3CDTF">2022-01-05T06:13:00Z</dcterms:created>
  <dcterms:modified xsi:type="dcterms:W3CDTF">2023-09-13T16:52:29Z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0x0101001B9EAFAD0FE37B4EB66B2F3D56AC5D9E</vt:lpwstr>
  </property>
  <property fmtid="{D5CDD505-2E9C-101B-9397-08002B2CF9AE}" pid="3" name="MediaServiceImageTags">
    <vt:lpwstr/>
  </property>
</Properties>
</file>